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9270" tabRatio="614" activeTab="2"/>
  </bookViews>
  <sheets>
    <sheet name="План" sheetId="2" r:id="rId1"/>
    <sheet name="Звіт" sheetId="1" state="hidden" r:id="rId2"/>
    <sheet name="Факт викор.1010160" sheetId="3" r:id="rId3"/>
    <sheet name="1011080" sheetId="4" r:id="rId4"/>
    <sheet name="1014030" sheetId="5" r:id="rId5"/>
    <sheet name="1014040" sheetId="6" r:id="rId6"/>
    <sheet name="1014060" sheetId="7" r:id="rId7"/>
    <sheet name="1014081" sheetId="9" r:id="rId8"/>
  </sheets>
  <calcPr calcId="124519"/>
</workbook>
</file>

<file path=xl/calcChain.xml><?xml version="1.0" encoding="utf-8"?>
<calcChain xmlns="http://schemas.openxmlformats.org/spreadsheetml/2006/main">
  <c r="H19" i="7"/>
  <c r="H34" i="6"/>
  <c r="H34" i="5"/>
  <c r="H34" i="3"/>
  <c r="G19" i="4"/>
  <c r="G19" i="7" l="1"/>
  <c r="E18"/>
  <c r="G19" i="6"/>
  <c r="G19" i="3"/>
  <c r="G19" i="9"/>
  <c r="G31" i="6" l="1"/>
  <c r="G34"/>
  <c r="G34" i="5"/>
  <c r="G34" i="3"/>
  <c r="B18" i="9"/>
  <c r="H28" i="7"/>
  <c r="G28"/>
  <c r="F34" i="9"/>
  <c r="F34" i="7"/>
  <c r="F34" i="5"/>
  <c r="F6" i="4"/>
  <c r="F34" i="3"/>
  <c r="F6"/>
  <c r="N5" i="5"/>
  <c r="E5" i="9"/>
  <c r="E7"/>
  <c r="D18" i="5"/>
  <c r="D18" i="4"/>
  <c r="N33" i="3"/>
  <c r="D20" i="5"/>
  <c r="D10"/>
  <c r="D32" i="9"/>
  <c r="D32" i="7"/>
  <c r="D32" i="5"/>
  <c r="D20" i="9"/>
  <c r="D17"/>
  <c r="D7"/>
  <c r="D5"/>
  <c r="C9" i="5"/>
  <c r="C7"/>
  <c r="C13" i="9"/>
  <c r="C11"/>
  <c r="C13" i="7"/>
  <c r="C11"/>
  <c r="C13" i="5"/>
  <c r="C13" i="6"/>
  <c r="C11"/>
  <c r="C11" i="5" l="1"/>
  <c r="C13" i="4"/>
  <c r="C11"/>
  <c r="C13" i="3"/>
  <c r="C11"/>
  <c r="F29" i="2"/>
  <c r="G29"/>
  <c r="H29"/>
  <c r="I29"/>
  <c r="J29"/>
  <c r="C26" i="7"/>
  <c r="E26"/>
  <c r="F26"/>
  <c r="G26"/>
  <c r="I26"/>
  <c r="J26"/>
  <c r="K26"/>
  <c r="L26"/>
  <c r="I26" i="6"/>
  <c r="J26"/>
  <c r="K26"/>
  <c r="L26"/>
  <c r="I26" i="5"/>
  <c r="J26"/>
  <c r="K26"/>
  <c r="L26"/>
  <c r="M26"/>
  <c r="B18"/>
  <c r="B18" i="4"/>
  <c r="B18" i="3"/>
  <c r="E17" i="2"/>
  <c r="M31" i="3" l="1"/>
  <c r="M34" i="9"/>
  <c r="M34" i="7"/>
  <c r="L11"/>
  <c r="L13"/>
  <c r="L11" i="6"/>
  <c r="L13"/>
  <c r="L11" i="5"/>
  <c r="L13"/>
  <c r="L13" i="4"/>
  <c r="L11"/>
  <c r="L13" i="3"/>
  <c r="L11"/>
  <c r="L34" i="9"/>
  <c r="L34" i="7"/>
  <c r="K9"/>
  <c r="K21" i="9" l="1"/>
  <c r="K18"/>
  <c r="K21" i="7"/>
  <c r="K18"/>
  <c r="K21" i="6"/>
  <c r="K18"/>
  <c r="K21" i="5"/>
  <c r="K18"/>
  <c r="K21" i="4"/>
  <c r="K18"/>
  <c r="K34" i="7"/>
  <c r="K34" i="9"/>
  <c r="K13"/>
  <c r="J13"/>
  <c r="K11"/>
  <c r="K11" i="7"/>
  <c r="K13"/>
  <c r="K13" i="6"/>
  <c r="K11"/>
  <c r="K11" i="5"/>
  <c r="K13"/>
  <c r="K13" i="4"/>
  <c r="K11"/>
  <c r="K13" i="3"/>
  <c r="K11"/>
  <c r="J11"/>
  <c r="H36" i="4"/>
  <c r="F24" i="7"/>
  <c r="J24" i="6"/>
  <c r="I24"/>
  <c r="J21" i="7"/>
  <c r="I21"/>
  <c r="J18"/>
  <c r="I13" i="9"/>
  <c r="J11"/>
  <c r="J13" i="7"/>
  <c r="J11"/>
  <c r="J13" i="6"/>
  <c r="J11"/>
  <c r="J11" i="5"/>
  <c r="J13"/>
  <c r="J34" i="7"/>
  <c r="J34" i="9"/>
  <c r="J31" i="5"/>
  <c r="J31" i="3"/>
  <c r="J21" i="9"/>
  <c r="I21"/>
  <c r="J18"/>
  <c r="J21" i="5"/>
  <c r="I21"/>
  <c r="J18"/>
  <c r="I18"/>
  <c r="J21" i="6"/>
  <c r="J18"/>
  <c r="J21" i="4"/>
  <c r="J18"/>
  <c r="J13"/>
  <c r="J11"/>
  <c r="J13" i="3"/>
  <c r="I9" i="5"/>
  <c r="I31" i="9"/>
  <c r="I11"/>
  <c r="I13" i="6"/>
  <c r="H13"/>
  <c r="I11"/>
  <c r="I13" i="4"/>
  <c r="I11"/>
  <c r="H11"/>
  <c r="H13"/>
  <c r="H31" i="7"/>
  <c r="I34" i="9"/>
  <c r="I34" i="7"/>
  <c r="I18" i="9"/>
  <c r="I21" i="4"/>
  <c r="I18"/>
  <c r="I18" i="7"/>
  <c r="I21" i="6"/>
  <c r="I18"/>
  <c r="I13" i="5"/>
  <c r="H13"/>
  <c r="I11"/>
  <c r="I13" i="7"/>
  <c r="I11"/>
  <c r="I13" i="3"/>
  <c r="I11"/>
  <c r="C16" i="9"/>
  <c r="H13"/>
  <c r="H11"/>
  <c r="H11" i="6"/>
  <c r="H13" i="7"/>
  <c r="H11"/>
  <c r="N40"/>
  <c r="N38"/>
  <c r="H11" i="5"/>
  <c r="H39" i="7"/>
  <c r="H36"/>
  <c r="H13" i="3"/>
  <c r="H11"/>
  <c r="H18" i="6"/>
  <c r="G21"/>
  <c r="H18" i="5"/>
  <c r="H21" i="7"/>
  <c r="H34" i="9"/>
  <c r="H34" i="7"/>
  <c r="N7" i="3"/>
  <c r="G34" i="9"/>
  <c r="G34" i="7"/>
  <c r="G13" i="9"/>
  <c r="G11"/>
  <c r="G13" i="4"/>
  <c r="G11"/>
  <c r="G13" i="7"/>
  <c r="G11"/>
  <c r="G13" i="6"/>
  <c r="G11"/>
  <c r="G13" i="3"/>
  <c r="G11"/>
  <c r="G21" i="7"/>
  <c r="F13"/>
  <c r="F11"/>
  <c r="E13"/>
  <c r="F13" i="9"/>
  <c r="F11"/>
  <c r="F13" i="5"/>
  <c r="F11"/>
  <c r="F13" i="6"/>
  <c r="F11"/>
  <c r="F13" i="4"/>
  <c r="F11"/>
  <c r="E13"/>
  <c r="F13" i="3"/>
  <c r="F11"/>
  <c r="E13"/>
  <c r="F18" i="9"/>
  <c r="F21" i="7"/>
  <c r="F18"/>
  <c r="F18" i="6"/>
  <c r="F28" i="7"/>
  <c r="F28" i="6"/>
  <c r="F28" i="5"/>
  <c r="E18" i="9"/>
  <c r="E18" i="5"/>
  <c r="E18" i="4"/>
  <c r="E21" i="7"/>
  <c r="E6" i="9"/>
  <c r="E6" i="7"/>
  <c r="E6" i="5"/>
  <c r="E6" i="4"/>
  <c r="E6" i="3"/>
  <c r="E13" i="6"/>
  <c r="E11"/>
  <c r="E13" i="9"/>
  <c r="E11"/>
  <c r="E13" i="5"/>
  <c r="E11"/>
  <c r="E34" i="9"/>
  <c r="E28" i="5"/>
  <c r="C16" i="7"/>
  <c r="D6" i="9"/>
  <c r="D6" i="7"/>
  <c r="D6" i="6"/>
  <c r="D6" i="4"/>
  <c r="D6" i="5"/>
  <c r="D6" i="3"/>
  <c r="D13"/>
  <c r="D13" i="9"/>
  <c r="D11"/>
  <c r="D13" i="5"/>
  <c r="D11"/>
  <c r="D13" i="7"/>
  <c r="D11"/>
  <c r="D13" i="6"/>
  <c r="D11"/>
  <c r="D13" i="4"/>
  <c r="D11"/>
  <c r="D11" i="3"/>
  <c r="D28" i="5"/>
  <c r="D34" i="3"/>
  <c r="D34" i="9"/>
  <c r="D34" i="7"/>
  <c r="D34" i="5"/>
  <c r="N22" i="9"/>
  <c r="N10"/>
  <c r="C28" i="7"/>
  <c r="N22"/>
  <c r="N20"/>
  <c r="N19"/>
  <c r="C18"/>
  <c r="N22" i="6"/>
  <c r="C21"/>
  <c r="C18"/>
  <c r="N39" i="7" l="1"/>
  <c r="B31" i="5"/>
  <c r="D31"/>
  <c r="E31"/>
  <c r="F31"/>
  <c r="G31"/>
  <c r="H31"/>
  <c r="I31"/>
  <c r="K31"/>
  <c r="L31"/>
  <c r="M31"/>
  <c r="C28"/>
  <c r="N22"/>
  <c r="N20"/>
  <c r="N19"/>
  <c r="N12"/>
  <c r="N33" i="4"/>
  <c r="N22"/>
  <c r="N20"/>
  <c r="N22" i="3"/>
  <c r="N20"/>
  <c r="C21"/>
  <c r="C18"/>
  <c r="C34" i="9" l="1"/>
  <c r="C18"/>
  <c r="C6"/>
  <c r="C6" i="7"/>
  <c r="C6" i="6"/>
  <c r="N34" i="5"/>
  <c r="C18"/>
  <c r="C18" i="4"/>
  <c r="C6"/>
  <c r="E14" i="2"/>
  <c r="C27"/>
  <c r="F24"/>
  <c r="C25"/>
  <c r="J24"/>
  <c r="I24"/>
  <c r="G24"/>
  <c r="E24"/>
  <c r="I14" l="1"/>
  <c r="E29"/>
  <c r="C26"/>
  <c r="B18" i="7"/>
  <c r="B26"/>
  <c r="B26" i="5"/>
  <c r="B26" i="6"/>
  <c r="B18"/>
  <c r="N37" i="9"/>
  <c r="N36"/>
  <c r="N35"/>
  <c r="N32"/>
  <c r="L31"/>
  <c r="K31"/>
  <c r="J31"/>
  <c r="H31"/>
  <c r="G31"/>
  <c r="F31"/>
  <c r="E31"/>
  <c r="D31"/>
  <c r="C31"/>
  <c r="B31"/>
  <c r="N29"/>
  <c r="B28"/>
  <c r="N28" s="1"/>
  <c r="N27"/>
  <c r="N25"/>
  <c r="M24"/>
  <c r="L24"/>
  <c r="K24"/>
  <c r="J24"/>
  <c r="I24"/>
  <c r="H24"/>
  <c r="G24"/>
  <c r="F24"/>
  <c r="E24"/>
  <c r="D24"/>
  <c r="C24"/>
  <c r="B24"/>
  <c r="N17"/>
  <c r="M16"/>
  <c r="L16"/>
  <c r="K16"/>
  <c r="J16"/>
  <c r="I16"/>
  <c r="H16"/>
  <c r="F16"/>
  <c r="E16"/>
  <c r="D16"/>
  <c r="B16"/>
  <c r="N12"/>
  <c r="M9"/>
  <c r="L9"/>
  <c r="K9"/>
  <c r="J9"/>
  <c r="I9"/>
  <c r="H9"/>
  <c r="G9"/>
  <c r="F9"/>
  <c r="E9"/>
  <c r="D9"/>
  <c r="C9"/>
  <c r="B9"/>
  <c r="N7"/>
  <c r="N5"/>
  <c r="N37" i="7"/>
  <c r="N36"/>
  <c r="N35"/>
  <c r="N34"/>
  <c r="N32"/>
  <c r="M31"/>
  <c r="L31"/>
  <c r="K31"/>
  <c r="J31"/>
  <c r="I31"/>
  <c r="G31"/>
  <c r="F31"/>
  <c r="E31"/>
  <c r="D31"/>
  <c r="C31"/>
  <c r="B31"/>
  <c r="N29"/>
  <c r="B28"/>
  <c r="N27"/>
  <c r="N25"/>
  <c r="M24"/>
  <c r="L24"/>
  <c r="K24"/>
  <c r="J24"/>
  <c r="I24"/>
  <c r="H24"/>
  <c r="G24"/>
  <c r="E24"/>
  <c r="D24"/>
  <c r="C24"/>
  <c r="B24"/>
  <c r="N17"/>
  <c r="N18" s="1"/>
  <c r="M16"/>
  <c r="L16"/>
  <c r="J16"/>
  <c r="I16"/>
  <c r="H16"/>
  <c r="G16"/>
  <c r="F16"/>
  <c r="E16"/>
  <c r="D16"/>
  <c r="B16"/>
  <c r="N10"/>
  <c r="M9"/>
  <c r="L9"/>
  <c r="J9"/>
  <c r="I9"/>
  <c r="H9"/>
  <c r="G9"/>
  <c r="F9"/>
  <c r="D9"/>
  <c r="C9"/>
  <c r="B9"/>
  <c r="N7"/>
  <c r="N5"/>
  <c r="N37" i="6"/>
  <c r="N36"/>
  <c r="N35"/>
  <c r="N34"/>
  <c r="N33"/>
  <c r="N32"/>
  <c r="M31"/>
  <c r="L31"/>
  <c r="K31"/>
  <c r="J31"/>
  <c r="I31"/>
  <c r="H31"/>
  <c r="F31"/>
  <c r="E31"/>
  <c r="D31"/>
  <c r="C31"/>
  <c r="B31"/>
  <c r="N29"/>
  <c r="N27"/>
  <c r="N25"/>
  <c r="M24"/>
  <c r="L24"/>
  <c r="K24"/>
  <c r="H24"/>
  <c r="G24"/>
  <c r="F24"/>
  <c r="E24"/>
  <c r="D24"/>
  <c r="C24"/>
  <c r="B24"/>
  <c r="N17"/>
  <c r="M16"/>
  <c r="L16"/>
  <c r="K16"/>
  <c r="J16"/>
  <c r="I16"/>
  <c r="H16"/>
  <c r="F16"/>
  <c r="C16"/>
  <c r="B16"/>
  <c r="N12"/>
  <c r="N10"/>
  <c r="M9"/>
  <c r="L9"/>
  <c r="K9"/>
  <c r="J9"/>
  <c r="I9"/>
  <c r="H9"/>
  <c r="G9"/>
  <c r="F9"/>
  <c r="E9"/>
  <c r="C9"/>
  <c r="B9"/>
  <c r="N7"/>
  <c r="N5"/>
  <c r="N37" i="5"/>
  <c r="N36"/>
  <c r="N35"/>
  <c r="N32"/>
  <c r="C31"/>
  <c r="N29"/>
  <c r="B28"/>
  <c r="N27"/>
  <c r="N25"/>
  <c r="M24"/>
  <c r="L24"/>
  <c r="K24"/>
  <c r="J24"/>
  <c r="I24"/>
  <c r="H24"/>
  <c r="G24"/>
  <c r="F24"/>
  <c r="E24"/>
  <c r="D24"/>
  <c r="C24"/>
  <c r="B24"/>
  <c r="N17"/>
  <c r="N18" s="1"/>
  <c r="M16"/>
  <c r="L16"/>
  <c r="K16"/>
  <c r="K38" s="1"/>
  <c r="J16"/>
  <c r="I16"/>
  <c r="H16"/>
  <c r="G16"/>
  <c r="F16"/>
  <c r="B16"/>
  <c r="N10"/>
  <c r="M9"/>
  <c r="L9"/>
  <c r="J9"/>
  <c r="H9"/>
  <c r="G9"/>
  <c r="F9"/>
  <c r="B9"/>
  <c r="N7"/>
  <c r="N37" i="4"/>
  <c r="N36"/>
  <c r="N35"/>
  <c r="N34"/>
  <c r="N32"/>
  <c r="M31"/>
  <c r="L31"/>
  <c r="K31"/>
  <c r="J31"/>
  <c r="I31"/>
  <c r="H31"/>
  <c r="G31"/>
  <c r="F31"/>
  <c r="E31"/>
  <c r="D31"/>
  <c r="C31"/>
  <c r="B31"/>
  <c r="N29"/>
  <c r="N28"/>
  <c r="N27"/>
  <c r="N25"/>
  <c r="M24"/>
  <c r="L24"/>
  <c r="K24"/>
  <c r="J24"/>
  <c r="I24"/>
  <c r="H24"/>
  <c r="G24"/>
  <c r="F24"/>
  <c r="E24"/>
  <c r="D24"/>
  <c r="C24"/>
  <c r="B24"/>
  <c r="N17"/>
  <c r="M16"/>
  <c r="L16"/>
  <c r="K16"/>
  <c r="J16"/>
  <c r="I16"/>
  <c r="H16"/>
  <c r="G16"/>
  <c r="F16"/>
  <c r="E16"/>
  <c r="C16"/>
  <c r="B16"/>
  <c r="N10"/>
  <c r="M9"/>
  <c r="L9"/>
  <c r="K9"/>
  <c r="J9"/>
  <c r="I9"/>
  <c r="G9"/>
  <c r="F9"/>
  <c r="C9"/>
  <c r="B9"/>
  <c r="N7"/>
  <c r="N5"/>
  <c r="N16" i="5" l="1"/>
  <c r="N6" i="9"/>
  <c r="J38"/>
  <c r="L38" i="5"/>
  <c r="L38" i="4"/>
  <c r="E38" i="9"/>
  <c r="M38"/>
  <c r="C38"/>
  <c r="L38"/>
  <c r="C38" i="6"/>
  <c r="N31"/>
  <c r="B38"/>
  <c r="L38"/>
  <c r="M38"/>
  <c r="B38" i="5"/>
  <c r="C38"/>
  <c r="M38"/>
  <c r="M38" i="4"/>
  <c r="C38"/>
  <c r="B38"/>
  <c r="C41" i="7"/>
  <c r="B41"/>
  <c r="N31"/>
  <c r="H41"/>
  <c r="M41"/>
  <c r="L41"/>
  <c r="K38" i="6"/>
  <c r="K38" i="9"/>
  <c r="K41" i="7"/>
  <c r="K38" i="4"/>
  <c r="J41" i="7"/>
  <c r="J38" i="6"/>
  <c r="N31" i="9"/>
  <c r="J38" i="4"/>
  <c r="I38" i="6"/>
  <c r="J38" i="5"/>
  <c r="I38" i="4"/>
  <c r="I38" i="9"/>
  <c r="I38" i="5"/>
  <c r="I41" i="7"/>
  <c r="H38" i="9"/>
  <c r="H38" i="6"/>
  <c r="H38" i="5"/>
  <c r="G38" i="4"/>
  <c r="G41" i="7"/>
  <c r="G38" i="5"/>
  <c r="F38" i="9"/>
  <c r="F38" i="4"/>
  <c r="F41" i="7"/>
  <c r="F38" i="6"/>
  <c r="F38" i="5"/>
  <c r="N6" i="7"/>
  <c r="N6" i="6"/>
  <c r="N6" i="4"/>
  <c r="N26" i="7"/>
  <c r="N28" i="6"/>
  <c r="E38" i="5"/>
  <c r="D38" i="4"/>
  <c r="D38" i="9"/>
  <c r="D38" i="5"/>
  <c r="D38" i="6"/>
  <c r="D41" i="7"/>
  <c r="N24" i="4"/>
  <c r="N31"/>
  <c r="N31" i="5"/>
  <c r="B38" i="9"/>
  <c r="N24"/>
  <c r="N24" i="7"/>
  <c r="N16"/>
  <c r="N24" i="6"/>
  <c r="N14"/>
  <c r="N11" s="1"/>
  <c r="N24" i="5"/>
  <c r="N16" i="4"/>
  <c r="N9" i="9"/>
  <c r="N9" i="6"/>
  <c r="N9" i="5"/>
  <c r="N36" i="3"/>
  <c r="B28"/>
  <c r="N13" i="6" l="1"/>
  <c r="N38" i="5"/>
  <c r="C29" i="2"/>
  <c r="N28" i="3" l="1"/>
  <c r="N10"/>
  <c r="C24"/>
  <c r="D24"/>
  <c r="E24"/>
  <c r="F24"/>
  <c r="G24"/>
  <c r="H24"/>
  <c r="I24"/>
  <c r="J24"/>
  <c r="K24"/>
  <c r="L24"/>
  <c r="M24"/>
  <c r="B24"/>
  <c r="C9"/>
  <c r="D9"/>
  <c r="F9"/>
  <c r="G9"/>
  <c r="H9"/>
  <c r="I9"/>
  <c r="J9"/>
  <c r="K9"/>
  <c r="L9"/>
  <c r="M9"/>
  <c r="N35"/>
  <c r="N32"/>
  <c r="C31"/>
  <c r="E31"/>
  <c r="F31"/>
  <c r="G31"/>
  <c r="H31"/>
  <c r="I31"/>
  <c r="K31"/>
  <c r="L31"/>
  <c r="N37"/>
  <c r="B31"/>
  <c r="N27"/>
  <c r="C16"/>
  <c r="D16"/>
  <c r="E16"/>
  <c r="F16"/>
  <c r="G16"/>
  <c r="H16"/>
  <c r="I16"/>
  <c r="J16"/>
  <c r="K16"/>
  <c r="L16"/>
  <c r="M16"/>
  <c r="B16"/>
  <c r="B9"/>
  <c r="B38" l="1"/>
  <c r="C38"/>
  <c r="M38"/>
  <c r="L38"/>
  <c r="K38"/>
  <c r="I38"/>
  <c r="J38"/>
  <c r="H38"/>
  <c r="G38"/>
  <c r="F38"/>
  <c r="D38"/>
  <c r="N16"/>
  <c r="N24"/>
  <c r="N17" l="1"/>
  <c r="N31"/>
  <c r="I11" i="1" l="1"/>
  <c r="K11" s="1"/>
  <c r="G6"/>
  <c r="G12" s="1"/>
  <c r="C9" i="2" l="1"/>
  <c r="D9"/>
  <c r="E9"/>
  <c r="F9"/>
  <c r="G9"/>
  <c r="H9"/>
  <c r="I9"/>
  <c r="J9"/>
  <c r="K9"/>
  <c r="L9"/>
  <c r="B9"/>
  <c r="M8"/>
  <c r="F11" i="1" s="1"/>
  <c r="H11" s="1"/>
  <c r="N5" i="3" l="1"/>
  <c r="N6" s="1"/>
  <c r="M4" i="2"/>
  <c r="F5" i="1" l="1"/>
  <c r="K8"/>
  <c r="N6"/>
  <c r="N12" s="1"/>
  <c r="M6" l="1"/>
  <c r="M12" s="1"/>
  <c r="C6" l="1"/>
  <c r="I9" l="1"/>
  <c r="K9" l="1"/>
  <c r="K7"/>
  <c r="H6" l="1"/>
  <c r="M7" i="2"/>
  <c r="F10" i="1" s="1"/>
  <c r="H10" s="1"/>
  <c r="N29" i="3" l="1"/>
  <c r="J10" i="1" s="1"/>
  <c r="N25" i="3"/>
  <c r="I10" i="1" s="1"/>
  <c r="I5"/>
  <c r="K5" l="1"/>
  <c r="L5" s="1"/>
  <c r="K10"/>
  <c r="L10" s="1"/>
  <c r="L9"/>
  <c r="L8"/>
  <c r="L7"/>
  <c r="M5" i="2"/>
  <c r="M6"/>
  <c r="F9" i="1" s="1"/>
  <c r="D6"/>
  <c r="D12" s="1"/>
  <c r="E6"/>
  <c r="E12" s="1"/>
  <c r="F6" l="1"/>
  <c r="F12" s="1"/>
  <c r="M9" i="2"/>
  <c r="H9" i="1"/>
  <c r="H5"/>
  <c r="L6"/>
  <c r="L12" s="1"/>
  <c r="H12" l="1"/>
  <c r="C6" i="3" l="1"/>
  <c r="J9" i="1"/>
  <c r="C33" i="3"/>
  <c r="N14" i="5"/>
  <c r="N14" i="9"/>
  <c r="J5" i="1"/>
  <c r="N34" i="3"/>
  <c r="N13" i="5" l="1"/>
  <c r="N11"/>
  <c r="N11" i="9"/>
  <c r="N13"/>
  <c r="J11" i="1"/>
  <c r="E16" i="6"/>
  <c r="E38" s="1"/>
  <c r="E18"/>
  <c r="N14" i="3"/>
  <c r="J7" i="1" s="1"/>
  <c r="N12" i="3"/>
  <c r="E11"/>
  <c r="E9"/>
  <c r="E38" s="1"/>
  <c r="N13" l="1"/>
  <c r="J8" i="1"/>
  <c r="J6" s="1"/>
  <c r="J12" s="1"/>
  <c r="N11" i="3"/>
  <c r="N9"/>
  <c r="N38" l="1"/>
  <c r="I6" i="1"/>
  <c r="I12" l="1"/>
  <c r="K6"/>
  <c r="K12" s="1"/>
  <c r="E9" i="4"/>
  <c r="E11"/>
  <c r="E38" l="1"/>
  <c r="N14" i="7"/>
  <c r="N11" s="1"/>
  <c r="E9"/>
  <c r="N9" s="1"/>
  <c r="N41" s="1"/>
  <c r="N12"/>
  <c r="E11"/>
  <c r="E41" l="1"/>
  <c r="N13"/>
  <c r="N20" i="6"/>
  <c r="N19"/>
  <c r="N18" s="1"/>
  <c r="G16"/>
  <c r="G38" s="1"/>
  <c r="N20" i="9"/>
  <c r="G16"/>
  <c r="N16" s="1"/>
  <c r="N38" s="1"/>
  <c r="N16" i="6" l="1"/>
  <c r="N38" s="1"/>
  <c r="G38" i="9"/>
  <c r="N12" i="4"/>
  <c r="H9"/>
  <c r="H38" s="1"/>
  <c r="N14"/>
  <c r="N11" s="1"/>
  <c r="N9" l="1"/>
  <c r="N38" s="1"/>
  <c r="N13"/>
  <c r="H19"/>
  <c r="H19" i="3"/>
  <c r="N19" s="1"/>
  <c r="N18" s="1"/>
  <c r="N19" i="4" l="1"/>
  <c r="N18" s="1"/>
  <c r="H18" i="9"/>
  <c r="N19"/>
  <c r="N18"/>
</calcChain>
</file>

<file path=xl/sharedStrings.xml><?xml version="1.0" encoding="utf-8"?>
<sst xmlns="http://schemas.openxmlformats.org/spreadsheetml/2006/main" count="344" uniqueCount="82">
  <si>
    <t>Оплата електроенергії</t>
  </si>
  <si>
    <t>Діючий тариф</t>
  </si>
  <si>
    <t>Заборгованість на початок року</t>
  </si>
  <si>
    <t>Погашення кредиторської заборгованості минулих років за звітний період</t>
  </si>
  <si>
    <t>Потреба на звітний рік у вартісних показниках</t>
  </si>
  <si>
    <t>Фактично спожито за звітний період</t>
  </si>
  <si>
    <t>Проведено розрахунки за звітний період</t>
  </si>
  <si>
    <t>Заборгованість на звітну дату</t>
  </si>
  <si>
    <t>за рік</t>
  </si>
  <si>
    <t>за звітний період</t>
  </si>
  <si>
    <t>КЕКВ</t>
  </si>
  <si>
    <t>Назва енергоносіїв та комунальних послуг</t>
  </si>
  <si>
    <t>водопостачання</t>
  </si>
  <si>
    <t>водовідведення</t>
  </si>
  <si>
    <t>ВСЬОГО</t>
  </si>
  <si>
    <t>Х</t>
  </si>
  <si>
    <t>грн.</t>
  </si>
  <si>
    <t>Оплата теплопостачання</t>
  </si>
  <si>
    <t>Оплата водопостачання та водовідведення всього, в т.ч.: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</si>
  <si>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</si>
  <si>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</si>
  <si>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</si>
  <si>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</si>
  <si>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</si>
  <si>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</si>
  <si>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</si>
  <si>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</si>
  <si>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</si>
  <si>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</si>
  <si>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</si>
  <si>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</si>
  <si>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Аналіз фактичного споживання  до минулого року
 (у фізичних  обсягах)</t>
  </si>
  <si>
    <t>Передбачено в бюджеті на звітний рік
 (з урахуванням змін)</t>
  </si>
  <si>
    <t>Потреба на звітний рік у натуральних показниках</t>
  </si>
  <si>
    <t>Факт. спожито за звітний період в натур. показниках</t>
  </si>
  <si>
    <t>Рік</t>
  </si>
  <si>
    <t>тариф</t>
  </si>
  <si>
    <t>Гкл</t>
  </si>
  <si>
    <t>м.куб</t>
  </si>
  <si>
    <t>КВт</t>
  </si>
  <si>
    <t>Всього:</t>
  </si>
  <si>
    <t>Оплата природного газу</t>
  </si>
  <si>
    <t>загальний фонд</t>
  </si>
  <si>
    <t>Оплата інших енергоносіїв (вивіз та захоронення сміття)</t>
  </si>
  <si>
    <t>Дані про стан розрахунків бюджетних установ, які фінансуються з місцевих бюджетів 
за спожиті комунальні послуги та енергоносії 
станом на                                      року</t>
  </si>
  <si>
    <t>розподіл</t>
  </si>
  <si>
    <t>сміття</t>
  </si>
  <si>
    <t>дрова</t>
  </si>
  <si>
    <t>Сума всього</t>
  </si>
  <si>
    <t>електроенергія</t>
  </si>
  <si>
    <t>перетікання</t>
  </si>
  <si>
    <t>транспортування</t>
  </si>
  <si>
    <t>споживання газу</t>
  </si>
  <si>
    <t>План всього</t>
  </si>
  <si>
    <t xml:space="preserve">розподіл </t>
  </si>
  <si>
    <t>споживання</t>
  </si>
  <si>
    <t>доставка</t>
  </si>
  <si>
    <t>бензин для генераторів</t>
  </si>
  <si>
    <t>Всього</t>
  </si>
  <si>
    <t>Разом</t>
  </si>
  <si>
    <t>Управління культури і туризму Звягельської міської ради</t>
  </si>
  <si>
    <t xml:space="preserve">Економіст </t>
  </si>
  <si>
    <t>Виконавець:</t>
  </si>
  <si>
    <t>загальний фонд (грн)</t>
  </si>
  <si>
    <t>КПКВК 1010160</t>
  </si>
  <si>
    <t>КПКВК 1011080</t>
  </si>
  <si>
    <t>КПКВК 1014030</t>
  </si>
  <si>
    <t>КПКВК 1014081</t>
  </si>
  <si>
    <t>КПКВК 1014060</t>
  </si>
  <si>
    <t>КПКВК 1014040</t>
  </si>
  <si>
    <t>бензин</t>
  </si>
  <si>
    <t>літри</t>
  </si>
  <si>
    <t>Юлія ЖУК</t>
  </si>
  <si>
    <t xml:space="preserve"> т. 0674124303</t>
  </si>
  <si>
    <t>Передбачено на 2025 рік (з урахуванням змін) станом на 01.01.2025</t>
  </si>
  <si>
    <t>74,383</t>
  </si>
  <si>
    <t>Фактичне використання енергоносіїв  станом на 01.08.2025 р.</t>
  </si>
  <si>
    <t>Фактичне використання енергоносіїв (касові видаткм)  станом на 01.08.2025</t>
  </si>
  <si>
    <t>Фактичне використання енергоносіїв (касові видатки)  станом на 01.08.2025 р.</t>
  </si>
  <si>
    <t>Фактичне використання енергоносіїв станом на 01.08.2025р.</t>
  </si>
  <si>
    <t>Фактичне використання енергоносіїв  станом на 01.08.2025р.</t>
  </si>
  <si>
    <t>Фактичне використання енергоносіїв (касові видатки) станом на 01.08.2025 р.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</si>
</sst>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,##0.0000"/>
    <numFmt numFmtId="166" formatCode="#,##0.000"/>
    <numFmt numFmtId="167" formatCode="#,##0.00000"/>
    <numFmt numFmtId="168" formatCode="0.0"/>
    <numFmt numFmtId="169" formatCode="0.00000"/>
  </numFmts>
  <fonts count="19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2" fillId="0" borderId="0" xfId="0" applyNumberFormat="1" applyFont="1"/>
    <xf numFmtId="4" fontId="2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1" xfId="0" applyNumberFormat="1" applyFont="1" applyBorder="1"/>
    <xf numFmtId="4" fontId="5" fillId="0" borderId="1" xfId="0" applyNumberFormat="1" applyFont="1" applyBorder="1"/>
    <xf numFmtId="0" fontId="4" fillId="0" borderId="1" xfId="0" applyNumberFormat="1" applyFont="1" applyBorder="1"/>
    <xf numFmtId="4" fontId="4" fillId="0" borderId="1" xfId="0" applyNumberFormat="1" applyFont="1" applyBorder="1"/>
    <xf numFmtId="4" fontId="8" fillId="0" borderId="1" xfId="0" applyNumberFormat="1" applyFont="1" applyBorder="1"/>
    <xf numFmtId="4" fontId="4" fillId="0" borderId="0" xfId="0" applyNumberFormat="1" applyFont="1"/>
    <xf numFmtId="164" fontId="2" fillId="0" borderId="1" xfId="0" applyNumberFormat="1" applyFont="1" applyBorder="1"/>
    <xf numFmtId="165" fontId="2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66" fontId="2" fillId="0" borderId="1" xfId="0" applyNumberFormat="1" applyFont="1" applyBorder="1"/>
    <xf numFmtId="4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/>
    <xf numFmtId="3" fontId="1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164" fontId="5" fillId="0" borderId="1" xfId="0" applyNumberFormat="1" applyFont="1" applyBorder="1"/>
    <xf numFmtId="166" fontId="5" fillId="0" borderId="1" xfId="0" applyNumberFormat="1" applyFont="1" applyBorder="1"/>
    <xf numFmtId="166" fontId="12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/>
    <xf numFmtId="3" fontId="2" fillId="0" borderId="3" xfId="0" applyNumberFormat="1" applyFont="1" applyBorder="1"/>
    <xf numFmtId="4" fontId="2" fillId="0" borderId="3" xfId="0" applyNumberFormat="1" applyFont="1" applyBorder="1"/>
    <xf numFmtId="4" fontId="5" fillId="0" borderId="3" xfId="0" applyNumberFormat="1" applyFont="1" applyBorder="1"/>
    <xf numFmtId="0" fontId="5" fillId="0" borderId="8" xfId="0" applyNumberFormat="1" applyFont="1" applyBorder="1"/>
    <xf numFmtId="3" fontId="2" fillId="0" borderId="9" xfId="0" applyNumberFormat="1" applyFont="1" applyBorder="1"/>
    <xf numFmtId="4" fontId="5" fillId="0" borderId="10" xfId="0" applyNumberFormat="1" applyFont="1" applyBorder="1"/>
    <xf numFmtId="0" fontId="5" fillId="0" borderId="8" xfId="0" applyNumberFormat="1" applyFont="1" applyBorder="1" applyAlignment="1">
      <alignment horizontal="left"/>
    </xf>
    <xf numFmtId="4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/>
    <xf numFmtId="0" fontId="4" fillId="0" borderId="3" xfId="0" applyNumberFormat="1" applyFont="1" applyBorder="1"/>
    <xf numFmtId="4" fontId="4" fillId="0" borderId="3" xfId="0" applyNumberFormat="1" applyFont="1" applyBorder="1"/>
    <xf numFmtId="4" fontId="8" fillId="0" borderId="3" xfId="0" applyNumberFormat="1" applyFont="1" applyBorder="1"/>
    <xf numFmtId="164" fontId="8" fillId="0" borderId="1" xfId="0" applyNumberFormat="1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8" fillId="0" borderId="10" xfId="0" applyNumberFormat="1" applyFont="1" applyBorder="1"/>
    <xf numFmtId="0" fontId="5" fillId="0" borderId="2" xfId="0" applyNumberFormat="1" applyFont="1" applyBorder="1"/>
    <xf numFmtId="3" fontId="2" fillId="0" borderId="2" xfId="0" applyNumberFormat="1" applyFont="1" applyBorder="1"/>
    <xf numFmtId="164" fontId="5" fillId="0" borderId="2" xfId="0" applyNumberFormat="1" applyFont="1" applyBorder="1"/>
    <xf numFmtId="4" fontId="5" fillId="0" borderId="8" xfId="0" applyNumberFormat="1" applyFont="1" applyBorder="1"/>
    <xf numFmtId="4" fontId="5" fillId="0" borderId="9" xfId="0" applyNumberFormat="1" applyFont="1" applyBorder="1"/>
    <xf numFmtId="4" fontId="2" fillId="0" borderId="9" xfId="0" applyNumberFormat="1" applyFont="1" applyBorder="1" applyAlignment="1">
      <alignment horizontal="right"/>
    </xf>
    <xf numFmtId="165" fontId="5" fillId="0" borderId="1" xfId="0" applyNumberFormat="1" applyFont="1" applyBorder="1"/>
    <xf numFmtId="2" fontId="2" fillId="0" borderId="9" xfId="0" applyNumberFormat="1" applyFont="1" applyBorder="1"/>
    <xf numFmtId="2" fontId="2" fillId="0" borderId="3" xfId="0" applyNumberFormat="1" applyFont="1" applyBorder="1"/>
    <xf numFmtId="2" fontId="2" fillId="0" borderId="1" xfId="0" applyNumberFormat="1" applyFont="1" applyBorder="1"/>
    <xf numFmtId="1" fontId="2" fillId="0" borderId="2" xfId="0" applyNumberFormat="1" applyFont="1" applyBorder="1"/>
    <xf numFmtId="166" fontId="2" fillId="0" borderId="1" xfId="0" applyNumberFormat="1" applyFont="1" applyFill="1" applyBorder="1"/>
    <xf numFmtId="4" fontId="1" fillId="0" borderId="9" xfId="0" applyNumberFormat="1" applyFont="1" applyBorder="1"/>
    <xf numFmtId="4" fontId="18" fillId="0" borderId="10" xfId="0" applyNumberFormat="1" applyFont="1" applyBorder="1"/>
    <xf numFmtId="4" fontId="18" fillId="0" borderId="1" xfId="0" applyNumberFormat="1" applyFont="1" applyBorder="1"/>
    <xf numFmtId="2" fontId="5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4" fontId="16" fillId="0" borderId="9" xfId="0" applyNumberFormat="1" applyFont="1" applyBorder="1"/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right" vertical="center" wrapText="1"/>
    </xf>
    <xf numFmtId="0" fontId="17" fillId="0" borderId="22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O35"/>
  <sheetViews>
    <sheetView topLeftCell="A10" workbookViewId="0">
      <selection activeCell="C29" sqref="C29:D29"/>
    </sheetView>
  </sheetViews>
  <sheetFormatPr defaultRowHeight="15.75"/>
  <cols>
    <col min="1" max="1" width="9.140625" style="2"/>
    <col min="2" max="2" width="12.85546875" style="2" customWidth="1"/>
    <col min="3" max="3" width="11.85546875" style="2" customWidth="1"/>
    <col min="4" max="4" width="11.5703125" style="2" customWidth="1"/>
    <col min="5" max="6" width="11" style="2" customWidth="1"/>
    <col min="7" max="7" width="12" style="2" customWidth="1"/>
    <col min="8" max="8" width="11.5703125" style="2" customWidth="1"/>
    <col min="9" max="9" width="12" style="2" customWidth="1"/>
    <col min="10" max="10" width="11.85546875" style="2" customWidth="1"/>
    <col min="11" max="11" width="11.5703125" style="2" customWidth="1"/>
    <col min="12" max="12" width="11.85546875" style="2" customWidth="1"/>
    <col min="13" max="13" width="19.85546875" style="2" customWidth="1"/>
    <col min="14" max="14" width="9.140625" style="2"/>
    <col min="15" max="15" width="13.140625" style="1" bestFit="1" customWidth="1"/>
    <col min="16" max="16384" width="9.140625" style="1"/>
  </cols>
  <sheetData>
    <row r="1" spans="1:15" ht="23.25" customHeight="1">
      <c r="A1" s="119" t="s">
        <v>74</v>
      </c>
      <c r="B1" s="119"/>
      <c r="C1" s="119"/>
      <c r="D1" s="119"/>
      <c r="E1" s="119"/>
      <c r="F1" s="119"/>
      <c r="G1" s="119"/>
      <c r="H1" s="119"/>
      <c r="I1" s="119"/>
      <c r="J1" s="119"/>
      <c r="K1" s="76"/>
      <c r="L1" s="76"/>
      <c r="M1" s="76"/>
    </row>
    <row r="2" spans="1:15" ht="22.5" customHeight="1">
      <c r="A2" s="120" t="s">
        <v>63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5" ht="22.5" hidden="1" customHeight="1">
      <c r="A3" s="77" t="s">
        <v>10</v>
      </c>
      <c r="B3" s="77" t="s">
        <v>19</v>
      </c>
      <c r="C3" s="77" t="s">
        <v>20</v>
      </c>
      <c r="D3" s="77" t="s">
        <v>21</v>
      </c>
      <c r="E3" s="77" t="s">
        <v>22</v>
      </c>
      <c r="F3" s="77" t="s">
        <v>23</v>
      </c>
      <c r="G3" s="77" t="s">
        <v>24</v>
      </c>
      <c r="H3" s="77" t="s">
        <v>25</v>
      </c>
      <c r="I3" s="77" t="s">
        <v>26</v>
      </c>
      <c r="J3" s="77" t="s">
        <v>27</v>
      </c>
      <c r="K3" s="7" t="s">
        <v>29</v>
      </c>
      <c r="L3" s="7" t="s">
        <v>30</v>
      </c>
      <c r="M3" s="7" t="s">
        <v>14</v>
      </c>
    </row>
    <row r="4" spans="1:15" ht="24" hidden="1" customHeight="1">
      <c r="A4" s="7">
        <v>2271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>
        <f>SUM(B4:L4)</f>
        <v>0</v>
      </c>
    </row>
    <row r="5" spans="1:15" ht="24" hidden="1" customHeight="1">
      <c r="A5" s="7">
        <v>2272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>
        <f>SUM(B5:L5)</f>
        <v>0</v>
      </c>
    </row>
    <row r="6" spans="1:15" ht="24" hidden="1" customHeight="1">
      <c r="A6" s="7">
        <v>2273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>
        <f>SUM(B6:L6)</f>
        <v>0</v>
      </c>
    </row>
    <row r="7" spans="1:15" ht="24" hidden="1" customHeight="1">
      <c r="A7" s="7">
        <v>2274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>
        <f>SUM(B7:L7)</f>
        <v>0</v>
      </c>
    </row>
    <row r="8" spans="1:15" ht="24" hidden="1" customHeight="1">
      <c r="A8" s="7">
        <v>2275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>
        <f>SUM(B8:L8)</f>
        <v>0</v>
      </c>
    </row>
    <row r="9" spans="1:15" ht="24" hidden="1" customHeight="1">
      <c r="A9" s="12"/>
      <c r="B9" s="37">
        <f>B4+B5+B6+B7+B8</f>
        <v>0</v>
      </c>
      <c r="C9" s="37">
        <f t="shared" ref="C9:L9" si="0">C4+C5+C6+C7+C8</f>
        <v>0</v>
      </c>
      <c r="D9" s="37">
        <f t="shared" si="0"/>
        <v>0</v>
      </c>
      <c r="E9" s="37">
        <f t="shared" si="0"/>
        <v>0</v>
      </c>
      <c r="F9" s="37">
        <f t="shared" si="0"/>
        <v>0</v>
      </c>
      <c r="G9" s="37">
        <f t="shared" si="0"/>
        <v>0</v>
      </c>
      <c r="H9" s="37">
        <f t="shared" si="0"/>
        <v>0</v>
      </c>
      <c r="I9" s="37">
        <f t="shared" si="0"/>
        <v>0</v>
      </c>
      <c r="J9" s="37">
        <f t="shared" si="0"/>
        <v>0</v>
      </c>
      <c r="K9" s="37">
        <f t="shared" si="0"/>
        <v>0</v>
      </c>
      <c r="L9" s="37">
        <f t="shared" si="0"/>
        <v>0</v>
      </c>
      <c r="M9" s="37">
        <f>M4+M5+M6+M7+M8</f>
        <v>0</v>
      </c>
      <c r="O9" s="45"/>
    </row>
    <row r="10" spans="1:15" ht="24" customHeight="1">
      <c r="A10" s="130" t="s">
        <v>60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89"/>
      <c r="L10" s="89"/>
      <c r="M10" s="89"/>
      <c r="N10" s="89"/>
      <c r="O10" s="45"/>
    </row>
    <row r="11" spans="1:15" ht="16.5" thickBot="1"/>
    <row r="12" spans="1:15" ht="31.5" customHeight="1" thickBot="1">
      <c r="A12" s="139"/>
      <c r="B12" s="140"/>
      <c r="C12" s="127" t="s">
        <v>53</v>
      </c>
      <c r="D12" s="127"/>
      <c r="E12" s="92">
        <v>1010160</v>
      </c>
      <c r="F12" s="92">
        <v>1011080</v>
      </c>
      <c r="G12" s="92">
        <v>1014030</v>
      </c>
      <c r="H12" s="92">
        <v>1014040</v>
      </c>
      <c r="I12" s="93">
        <v>1014060</v>
      </c>
      <c r="J12" s="94">
        <v>1014081</v>
      </c>
      <c r="L12" s="82"/>
    </row>
    <row r="13" spans="1:15" ht="21" customHeight="1">
      <c r="A13" s="78">
        <v>2271</v>
      </c>
      <c r="B13" s="79" t="s">
        <v>58</v>
      </c>
      <c r="C13" s="117">
        <v>2658725</v>
      </c>
      <c r="D13" s="118"/>
      <c r="E13" s="84">
        <v>5400</v>
      </c>
      <c r="F13" s="84">
        <v>632800</v>
      </c>
      <c r="G13" s="84">
        <v>295300</v>
      </c>
      <c r="H13" s="84">
        <v>241600</v>
      </c>
      <c r="I13" s="84">
        <v>1364625</v>
      </c>
      <c r="J13" s="86">
        <v>119000</v>
      </c>
    </row>
    <row r="14" spans="1:15">
      <c r="A14" s="73">
        <v>2272</v>
      </c>
      <c r="B14" s="74" t="s">
        <v>58</v>
      </c>
      <c r="C14" s="128">
        <v>79231.199999999997</v>
      </c>
      <c r="D14" s="128"/>
      <c r="E14" s="85">
        <f t="shared" ref="E14:I14" si="1">E15+E16</f>
        <v>1100</v>
      </c>
      <c r="F14" s="85">
        <v>16996</v>
      </c>
      <c r="G14" s="85">
        <v>11588.2</v>
      </c>
      <c r="H14" s="85">
        <v>7478</v>
      </c>
      <c r="I14" s="85">
        <f t="shared" si="1"/>
        <v>35800</v>
      </c>
      <c r="J14" s="87">
        <v>6269</v>
      </c>
      <c r="L14" s="82"/>
    </row>
    <row r="15" spans="1:15" ht="18.75" customHeight="1">
      <c r="A15" s="122" t="s">
        <v>12</v>
      </c>
      <c r="B15" s="123"/>
      <c r="C15" s="124">
        <v>36187</v>
      </c>
      <c r="D15" s="124"/>
      <c r="E15" s="75">
        <v>490</v>
      </c>
      <c r="F15" s="75">
        <v>7928</v>
      </c>
      <c r="G15" s="75">
        <v>5244</v>
      </c>
      <c r="H15" s="75">
        <v>3459</v>
      </c>
      <c r="I15" s="75">
        <v>16289</v>
      </c>
      <c r="J15" s="83">
        <v>2777</v>
      </c>
    </row>
    <row r="16" spans="1:15">
      <c r="A16" s="122" t="s">
        <v>13</v>
      </c>
      <c r="B16" s="123"/>
      <c r="C16" s="124">
        <v>43044.2</v>
      </c>
      <c r="D16" s="124"/>
      <c r="E16" s="75">
        <v>610</v>
      </c>
      <c r="F16" s="75">
        <v>9068</v>
      </c>
      <c r="G16" s="75">
        <v>6344.2</v>
      </c>
      <c r="H16" s="75">
        <v>4019</v>
      </c>
      <c r="I16" s="75">
        <v>19511</v>
      </c>
      <c r="J16" s="83">
        <v>3492</v>
      </c>
    </row>
    <row r="17" spans="1:14">
      <c r="A17" s="73">
        <v>2273</v>
      </c>
      <c r="B17" s="74" t="s">
        <v>58</v>
      </c>
      <c r="C17" s="128">
        <v>976988</v>
      </c>
      <c r="D17" s="128"/>
      <c r="E17" s="85">
        <f>E18+E19</f>
        <v>11200</v>
      </c>
      <c r="F17" s="85">
        <v>136320</v>
      </c>
      <c r="G17" s="85">
        <v>121800</v>
      </c>
      <c r="H17" s="85">
        <v>87700</v>
      </c>
      <c r="I17" s="85">
        <v>572651</v>
      </c>
      <c r="J17" s="87">
        <v>45200</v>
      </c>
    </row>
    <row r="18" spans="1:14" ht="20.25" customHeight="1">
      <c r="A18" s="122" t="s">
        <v>49</v>
      </c>
      <c r="B18" s="123"/>
      <c r="C18" s="124">
        <v>687490</v>
      </c>
      <c r="D18" s="124"/>
      <c r="E18" s="75">
        <v>8500</v>
      </c>
      <c r="F18" s="75">
        <v>92320</v>
      </c>
      <c r="G18" s="75">
        <v>82900</v>
      </c>
      <c r="H18" s="75">
        <v>58730</v>
      </c>
      <c r="I18" s="75">
        <v>410885</v>
      </c>
      <c r="J18" s="83">
        <v>34155</v>
      </c>
    </row>
    <row r="19" spans="1:14">
      <c r="A19" s="122" t="s">
        <v>54</v>
      </c>
      <c r="B19" s="123"/>
      <c r="C19" s="124">
        <v>240498</v>
      </c>
      <c r="D19" s="124"/>
      <c r="E19" s="75">
        <v>2700</v>
      </c>
      <c r="F19" s="75">
        <v>44000</v>
      </c>
      <c r="G19" s="75">
        <v>38900</v>
      </c>
      <c r="H19" s="75">
        <v>28970</v>
      </c>
      <c r="I19" s="75">
        <v>114883</v>
      </c>
      <c r="J19" s="83">
        <v>11045</v>
      </c>
    </row>
    <row r="20" spans="1:14" ht="16.5" thickBot="1">
      <c r="A20" s="122" t="s">
        <v>50</v>
      </c>
      <c r="B20" s="123"/>
      <c r="C20" s="124">
        <v>49000</v>
      </c>
      <c r="D20" s="124"/>
      <c r="E20" s="75"/>
      <c r="F20" s="75"/>
      <c r="G20" s="75"/>
      <c r="H20" s="75"/>
      <c r="I20" s="75">
        <v>46883</v>
      </c>
      <c r="J20" s="83"/>
    </row>
    <row r="21" spans="1:14" ht="16.5" thickBot="1">
      <c r="A21" s="73">
        <v>2274</v>
      </c>
      <c r="B21" s="74" t="s">
        <v>58</v>
      </c>
      <c r="C21" s="128">
        <v>464519.8</v>
      </c>
      <c r="D21" s="128"/>
      <c r="E21" s="9"/>
      <c r="F21" s="9"/>
      <c r="G21" s="85">
        <v>135304.79999999999</v>
      </c>
      <c r="H21" s="85">
        <v>290474</v>
      </c>
      <c r="I21" s="85">
        <v>38741</v>
      </c>
      <c r="J21" s="87"/>
      <c r="N21" s="80"/>
    </row>
    <row r="22" spans="1:14" ht="16.5" customHeight="1">
      <c r="A22" s="122" t="s">
        <v>55</v>
      </c>
      <c r="B22" s="123"/>
      <c r="C22" s="124">
        <v>383009.8</v>
      </c>
      <c r="D22" s="124"/>
      <c r="E22" s="75"/>
      <c r="F22" s="75"/>
      <c r="G22" s="75">
        <v>99852.800000000003</v>
      </c>
      <c r="H22" s="75">
        <v>258587</v>
      </c>
      <c r="I22" s="75">
        <v>24570</v>
      </c>
      <c r="J22" s="83"/>
      <c r="L22" s="82"/>
    </row>
    <row r="23" spans="1:14">
      <c r="A23" s="122" t="s">
        <v>56</v>
      </c>
      <c r="B23" s="123"/>
      <c r="C23" s="124">
        <v>81510</v>
      </c>
      <c r="D23" s="124"/>
      <c r="E23" s="75"/>
      <c r="F23" s="75"/>
      <c r="G23" s="75">
        <v>35452</v>
      </c>
      <c r="H23" s="75">
        <v>31887</v>
      </c>
      <c r="I23" s="75">
        <v>14171</v>
      </c>
      <c r="J23" s="83"/>
      <c r="L23" s="82"/>
    </row>
    <row r="24" spans="1:14">
      <c r="A24" s="73">
        <v>2275</v>
      </c>
      <c r="B24" s="74" t="s">
        <v>58</v>
      </c>
      <c r="C24" s="128">
        <v>166000</v>
      </c>
      <c r="D24" s="128"/>
      <c r="E24" s="85">
        <f>E25+E26+E27</f>
        <v>400</v>
      </c>
      <c r="F24" s="85">
        <f>F27+F26</f>
        <v>44000</v>
      </c>
      <c r="G24" s="85">
        <f>G25+G26+G27</f>
        <v>2000</v>
      </c>
      <c r="H24" s="85">
        <v>3000</v>
      </c>
      <c r="I24" s="85">
        <f>I25+I26+I27</f>
        <v>115100</v>
      </c>
      <c r="J24" s="87">
        <f>J25+J26+J27</f>
        <v>1500</v>
      </c>
      <c r="L24" s="82"/>
    </row>
    <row r="25" spans="1:14">
      <c r="A25" s="122" t="s">
        <v>47</v>
      </c>
      <c r="B25" s="123"/>
      <c r="C25" s="124">
        <f>E25+F25+G25+H25+I25+J25</f>
        <v>80500</v>
      </c>
      <c r="D25" s="124"/>
      <c r="E25" s="75"/>
      <c r="F25" s="75"/>
      <c r="G25" s="75"/>
      <c r="H25" s="75"/>
      <c r="I25" s="75">
        <v>80500</v>
      </c>
      <c r="J25" s="83"/>
      <c r="L25" s="82"/>
    </row>
    <row r="26" spans="1:14">
      <c r="A26" s="122" t="s">
        <v>46</v>
      </c>
      <c r="B26" s="123"/>
      <c r="C26" s="124">
        <f>E26+F26+G26+H26+I26+J26</f>
        <v>9900</v>
      </c>
      <c r="D26" s="124"/>
      <c r="E26" s="75">
        <v>400</v>
      </c>
      <c r="F26" s="75">
        <v>400</v>
      </c>
      <c r="G26" s="75">
        <v>2000</v>
      </c>
      <c r="H26" s="75">
        <v>3000</v>
      </c>
      <c r="I26" s="75">
        <v>2600</v>
      </c>
      <c r="J26" s="83">
        <v>1500</v>
      </c>
      <c r="L26" s="82"/>
    </row>
    <row r="27" spans="1:14" ht="15.75" customHeight="1">
      <c r="A27" s="122" t="s">
        <v>57</v>
      </c>
      <c r="B27" s="123"/>
      <c r="C27" s="124">
        <f>E27+F27+G27+H27+I27+J27</f>
        <v>75600</v>
      </c>
      <c r="D27" s="124"/>
      <c r="E27" s="124"/>
      <c r="F27" s="124">
        <v>43600</v>
      </c>
      <c r="G27" s="124"/>
      <c r="H27" s="124"/>
      <c r="I27" s="124">
        <v>32000</v>
      </c>
      <c r="J27" s="136"/>
      <c r="L27" s="82"/>
    </row>
    <row r="28" spans="1:14" ht="16.5" thickBot="1">
      <c r="A28" s="125"/>
      <c r="B28" s="126"/>
      <c r="C28" s="138"/>
      <c r="D28" s="138"/>
      <c r="E28" s="138"/>
      <c r="F28" s="138"/>
      <c r="G28" s="138"/>
      <c r="H28" s="138"/>
      <c r="I28" s="138"/>
      <c r="J28" s="137"/>
      <c r="L28" s="82"/>
    </row>
    <row r="29" spans="1:14" ht="23.25" customHeight="1" thickBot="1">
      <c r="A29" s="134" t="s">
        <v>59</v>
      </c>
      <c r="B29" s="135"/>
      <c r="C29" s="132">
        <f>C13+C14+C17+C21+C24</f>
        <v>4345464</v>
      </c>
      <c r="D29" s="133"/>
      <c r="E29" s="95">
        <f t="shared" ref="E29" si="2">E13+E14+E17+E21+E24</f>
        <v>18100</v>
      </c>
      <c r="F29" s="95">
        <f>SUM(F24,F17,F14,F13)</f>
        <v>830116</v>
      </c>
      <c r="G29" s="95">
        <f>SUM(G24,G21,G17,G14,G13)</f>
        <v>565993</v>
      </c>
      <c r="H29" s="95">
        <f>SUM(H24,H21,H17,H14,H13)</f>
        <v>630252</v>
      </c>
      <c r="I29" s="95">
        <f>SUM(I24,I21,I17,I14,I13)</f>
        <v>2126917</v>
      </c>
      <c r="J29" s="96">
        <f>SUM(J24,J21,J17,J14,J13)</f>
        <v>171969</v>
      </c>
    </row>
    <row r="33" spans="2:6">
      <c r="B33" s="81" t="s">
        <v>62</v>
      </c>
      <c r="C33" s="81" t="s">
        <v>61</v>
      </c>
      <c r="D33" s="129" t="s">
        <v>72</v>
      </c>
      <c r="E33" s="129"/>
    </row>
    <row r="34" spans="2:6">
      <c r="B34" s="81"/>
      <c r="C34" s="81"/>
      <c r="D34" s="129" t="s">
        <v>73</v>
      </c>
      <c r="E34" s="129"/>
    </row>
    <row r="35" spans="2:6">
      <c r="F35" s="88"/>
    </row>
  </sheetData>
  <mergeCells count="40">
    <mergeCell ref="D33:E33"/>
    <mergeCell ref="D34:E34"/>
    <mergeCell ref="A10:J10"/>
    <mergeCell ref="C29:D29"/>
    <mergeCell ref="A29:B29"/>
    <mergeCell ref="J27:J28"/>
    <mergeCell ref="E27:E28"/>
    <mergeCell ref="F27:F28"/>
    <mergeCell ref="G27:G28"/>
    <mergeCell ref="H27:H28"/>
    <mergeCell ref="I27:I28"/>
    <mergeCell ref="C25:D25"/>
    <mergeCell ref="C26:D26"/>
    <mergeCell ref="A12:B12"/>
    <mergeCell ref="C27:D28"/>
    <mergeCell ref="A25:B25"/>
    <mergeCell ref="A26:B26"/>
    <mergeCell ref="A27:B28"/>
    <mergeCell ref="C12:D12"/>
    <mergeCell ref="C15:D15"/>
    <mergeCell ref="C16:D16"/>
    <mergeCell ref="C14:D14"/>
    <mergeCell ref="C17:D17"/>
    <mergeCell ref="C18:D18"/>
    <mergeCell ref="C19:D19"/>
    <mergeCell ref="C20:D20"/>
    <mergeCell ref="C21:D21"/>
    <mergeCell ref="C23:D23"/>
    <mergeCell ref="C24:D24"/>
    <mergeCell ref="A18:B18"/>
    <mergeCell ref="A19:B19"/>
    <mergeCell ref="A20:B20"/>
    <mergeCell ref="C13:D13"/>
    <mergeCell ref="A1:J1"/>
    <mergeCell ref="A2:J2"/>
    <mergeCell ref="A22:B22"/>
    <mergeCell ref="A23:B23"/>
    <mergeCell ref="A15:B15"/>
    <mergeCell ref="A16:B16"/>
    <mergeCell ref="C22:D22"/>
  </mergeCells>
  <phoneticPr fontId="3" type="noConversion"/>
  <pageMargins left="0.19685039370078741" right="0.19685039370078741" top="0.98425196850393704" bottom="0.19685039370078741" header="0.51181102362204722" footer="0.19685039370078741"/>
  <pageSetup paperSize="9" scale="8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P15"/>
  <sheetViews>
    <sheetView workbookViewId="0">
      <selection activeCell="M11" sqref="M11:N11"/>
    </sheetView>
  </sheetViews>
  <sheetFormatPr defaultRowHeight="15.75"/>
  <cols>
    <col min="1" max="1" width="6.5703125" style="2" customWidth="1"/>
    <col min="2" max="2" width="18.5703125" style="1" customWidth="1"/>
    <col min="3" max="3" width="10.140625" style="2" customWidth="1"/>
    <col min="4" max="4" width="13.140625" style="2" customWidth="1"/>
    <col min="5" max="5" width="15.28515625" style="2" customWidth="1"/>
    <col min="6" max="7" width="13.140625" style="2" customWidth="1"/>
    <col min="8" max="8" width="14.28515625" style="2" customWidth="1"/>
    <col min="9" max="9" width="13" style="2" customWidth="1"/>
    <col min="10" max="10" width="11.5703125" style="2" customWidth="1"/>
    <col min="11" max="11" width="13.7109375" style="2" customWidth="1"/>
    <col min="12" max="12" width="13.42578125" style="2" customWidth="1"/>
    <col min="13" max="14" width="11.140625" style="2" customWidth="1"/>
    <col min="15" max="16" width="9.140625" style="2"/>
    <col min="17" max="16384" width="9.140625" style="1"/>
  </cols>
  <sheetData>
    <row r="1" spans="1:16" ht="58.5" customHeight="1">
      <c r="A1" s="141" t="s">
        <v>44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6" ht="25.5" customHeight="1">
      <c r="F2" s="145" t="s">
        <v>42</v>
      </c>
      <c r="G2" s="145"/>
      <c r="H2" s="145"/>
      <c r="N2" s="2" t="s">
        <v>16</v>
      </c>
    </row>
    <row r="3" spans="1:16" s="3" customFormat="1" ht="54.75" customHeight="1">
      <c r="A3" s="143" t="s">
        <v>10</v>
      </c>
      <c r="B3" s="143" t="s">
        <v>11</v>
      </c>
      <c r="C3" s="142" t="s">
        <v>1</v>
      </c>
      <c r="D3" s="142" t="s">
        <v>2</v>
      </c>
      <c r="E3" s="142" t="s">
        <v>3</v>
      </c>
      <c r="F3" s="142" t="s">
        <v>4</v>
      </c>
      <c r="G3" s="142" t="s">
        <v>33</v>
      </c>
      <c r="H3" s="142" t="s">
        <v>32</v>
      </c>
      <c r="I3" s="142" t="s">
        <v>5</v>
      </c>
      <c r="J3" s="143" t="s">
        <v>34</v>
      </c>
      <c r="K3" s="142" t="s">
        <v>6</v>
      </c>
      <c r="L3" s="142" t="s">
        <v>7</v>
      </c>
      <c r="M3" s="142" t="s">
        <v>31</v>
      </c>
      <c r="N3" s="142"/>
      <c r="O3" s="4"/>
      <c r="P3" s="4"/>
    </row>
    <row r="4" spans="1:16" s="3" customFormat="1" ht="28.5" customHeight="1">
      <c r="A4" s="144"/>
      <c r="B4" s="144"/>
      <c r="C4" s="142"/>
      <c r="D4" s="142"/>
      <c r="E4" s="142"/>
      <c r="F4" s="142"/>
      <c r="G4" s="142"/>
      <c r="H4" s="142"/>
      <c r="I4" s="142"/>
      <c r="J4" s="144"/>
      <c r="K4" s="142"/>
      <c r="L4" s="142"/>
      <c r="M4" s="5" t="s">
        <v>8</v>
      </c>
      <c r="N4" s="5" t="s">
        <v>9</v>
      </c>
      <c r="O4" s="4"/>
      <c r="P4" s="4"/>
    </row>
    <row r="5" spans="1:16" ht="31.5">
      <c r="A5" s="35">
        <v>2271</v>
      </c>
      <c r="B5" s="38" t="s">
        <v>17</v>
      </c>
      <c r="C5" s="54">
        <v>1625.64</v>
      </c>
      <c r="D5" s="51">
        <v>0</v>
      </c>
      <c r="E5" s="51">
        <v>0</v>
      </c>
      <c r="F5" s="39">
        <f>План!M4</f>
        <v>0</v>
      </c>
      <c r="G5" s="49"/>
      <c r="H5" s="39">
        <f>F5</f>
        <v>0</v>
      </c>
      <c r="I5" s="39">
        <f>'Факт викор.1010160'!N5</f>
        <v>4937.55</v>
      </c>
      <c r="J5" s="39">
        <f>'Факт викор.1010160'!N7</f>
        <v>1.2863</v>
      </c>
      <c r="K5" s="39">
        <f>I5</f>
        <v>4937.55</v>
      </c>
      <c r="L5" s="40">
        <f>I5-K5</f>
        <v>0</v>
      </c>
      <c r="M5" s="49"/>
      <c r="N5" s="49"/>
    </row>
    <row r="6" spans="1:16" ht="67.5" customHeight="1">
      <c r="A6" s="7">
        <v>2272</v>
      </c>
      <c r="B6" s="6" t="s">
        <v>18</v>
      </c>
      <c r="C6" s="54">
        <f>C7+C8</f>
        <v>35.770000000000003</v>
      </c>
      <c r="D6" s="50">
        <f t="shared" ref="D6:L6" si="0">D7+D8</f>
        <v>0</v>
      </c>
      <c r="E6" s="50">
        <f t="shared" si="0"/>
        <v>0</v>
      </c>
      <c r="F6" s="39">
        <f>План!M5</f>
        <v>0</v>
      </c>
      <c r="G6" s="43">
        <f>G7</f>
        <v>0</v>
      </c>
      <c r="H6" s="39">
        <f>H7+H8</f>
        <v>0</v>
      </c>
      <c r="I6" s="39">
        <f>'Факт викор.1010160'!N9</f>
        <v>625.91</v>
      </c>
      <c r="J6" s="53">
        <f>MAX(J7,J8)</f>
        <v>8.4860000000000007</v>
      </c>
      <c r="K6" s="39">
        <f t="shared" ref="K6:K10" si="1">I6</f>
        <v>625.91</v>
      </c>
      <c r="L6" s="40">
        <f t="shared" si="0"/>
        <v>0</v>
      </c>
      <c r="M6" s="39">
        <f>M7</f>
        <v>0</v>
      </c>
      <c r="N6" s="43">
        <f>MAX(N7,N8)</f>
        <v>0</v>
      </c>
    </row>
    <row r="7" spans="1:16" s="11" customFormat="1" ht="16.5" customHeight="1">
      <c r="A7" s="9"/>
      <c r="B7" s="8" t="s">
        <v>12</v>
      </c>
      <c r="C7" s="55">
        <v>14.58</v>
      </c>
      <c r="D7" s="50">
        <v>0</v>
      </c>
      <c r="E7" s="50">
        <v>0</v>
      </c>
      <c r="F7" s="40">
        <v>448148.27</v>
      </c>
      <c r="G7" s="42"/>
      <c r="H7" s="40"/>
      <c r="I7" s="40"/>
      <c r="J7" s="48">
        <f>'Факт викор.1010160'!N14</f>
        <v>8.4860000000000007</v>
      </c>
      <c r="K7" s="40">
        <f t="shared" si="1"/>
        <v>0</v>
      </c>
      <c r="L7" s="40">
        <f>I7-K7</f>
        <v>0</v>
      </c>
      <c r="M7" s="40"/>
      <c r="N7" s="42"/>
      <c r="O7" s="10"/>
      <c r="P7" s="10"/>
    </row>
    <row r="8" spans="1:16" s="11" customFormat="1" ht="17.25" customHeight="1">
      <c r="A8" s="9"/>
      <c r="B8" s="8" t="s">
        <v>13</v>
      </c>
      <c r="C8" s="56">
        <v>21.19</v>
      </c>
      <c r="D8" s="50">
        <v>0</v>
      </c>
      <c r="E8" s="50">
        <v>0</v>
      </c>
      <c r="F8" s="40">
        <v>732501.73</v>
      </c>
      <c r="G8" s="42"/>
      <c r="H8" s="40"/>
      <c r="I8" s="40"/>
      <c r="J8" s="48">
        <f>J7</f>
        <v>8.4860000000000007</v>
      </c>
      <c r="K8" s="40">
        <f>I8</f>
        <v>0</v>
      </c>
      <c r="L8" s="40">
        <f>I8-K8</f>
        <v>0</v>
      </c>
      <c r="M8" s="40"/>
      <c r="N8" s="42"/>
      <c r="O8" s="10"/>
      <c r="P8" s="10"/>
    </row>
    <row r="9" spans="1:16" ht="31.5">
      <c r="A9" s="7">
        <v>2273</v>
      </c>
      <c r="B9" s="6" t="s">
        <v>0</v>
      </c>
      <c r="C9" s="54">
        <v>3.27</v>
      </c>
      <c r="D9" s="50">
        <v>0</v>
      </c>
      <c r="E9" s="50">
        <v>0</v>
      </c>
      <c r="F9" s="39">
        <f>План!M6</f>
        <v>0</v>
      </c>
      <c r="G9" s="43"/>
      <c r="H9" s="39">
        <f>F9</f>
        <v>0</v>
      </c>
      <c r="I9" s="39">
        <f>'Факт викор.1010160'!N17</f>
        <v>6334.4300000000012</v>
      </c>
      <c r="J9" s="43" t="e">
        <f>'Факт викор.1010160'!#REF!</f>
        <v>#REF!</v>
      </c>
      <c r="K9" s="39">
        <f t="shared" si="1"/>
        <v>6334.4300000000012</v>
      </c>
      <c r="L9" s="40">
        <f>I9-K9</f>
        <v>0</v>
      </c>
      <c r="M9" s="39"/>
      <c r="N9" s="43"/>
    </row>
    <row r="10" spans="1:16" ht="31.5">
      <c r="A10" s="7">
        <v>2274</v>
      </c>
      <c r="B10" s="6" t="s">
        <v>41</v>
      </c>
      <c r="C10" s="54">
        <v>13.38</v>
      </c>
      <c r="D10" s="50">
        <v>0</v>
      </c>
      <c r="E10" s="50">
        <v>0</v>
      </c>
      <c r="F10" s="39">
        <f>План!M7</f>
        <v>0</v>
      </c>
      <c r="G10" s="43"/>
      <c r="H10" s="39">
        <f>F10</f>
        <v>0</v>
      </c>
      <c r="I10" s="39">
        <f>'Факт викор.1010160'!N25</f>
        <v>0</v>
      </c>
      <c r="J10" s="43">
        <f>'Факт викор.1010160'!N29</f>
        <v>0</v>
      </c>
      <c r="K10" s="39">
        <f t="shared" si="1"/>
        <v>0</v>
      </c>
      <c r="L10" s="40">
        <f>I10-K10</f>
        <v>0</v>
      </c>
      <c r="M10" s="39"/>
      <c r="N10" s="43"/>
    </row>
    <row r="11" spans="1:16" ht="78.75">
      <c r="A11" s="7">
        <v>2275</v>
      </c>
      <c r="B11" s="6" t="s">
        <v>43</v>
      </c>
      <c r="C11" s="54">
        <v>98.71</v>
      </c>
      <c r="D11" s="50">
        <v>0</v>
      </c>
      <c r="E11" s="50">
        <v>0</v>
      </c>
      <c r="F11" s="39">
        <f>План!M8</f>
        <v>0</v>
      </c>
      <c r="G11" s="52"/>
      <c r="H11" s="39">
        <f>F11</f>
        <v>0</v>
      </c>
      <c r="I11" s="39">
        <f>'Факт викор.1010160'!N31</f>
        <v>210</v>
      </c>
      <c r="J11" s="52">
        <f>'Факт викор.1010160'!N34</f>
        <v>1.0943199583116205</v>
      </c>
      <c r="K11" s="39">
        <f>I11</f>
        <v>210</v>
      </c>
      <c r="L11" s="40">
        <v>0</v>
      </c>
      <c r="M11" s="52"/>
      <c r="N11" s="39"/>
    </row>
    <row r="12" spans="1:16" s="16" customFormat="1" ht="24.75" customHeight="1">
      <c r="A12" s="12"/>
      <c r="B12" s="13" t="s">
        <v>14</v>
      </c>
      <c r="C12" s="12" t="s">
        <v>15</v>
      </c>
      <c r="D12" s="14">
        <f>D5+D6+D9+D10+D11</f>
        <v>0</v>
      </c>
      <c r="E12" s="14">
        <f>E5+E6+E9+E10+E11</f>
        <v>0</v>
      </c>
      <c r="F12" s="36">
        <f>F5+F6+F9+F10+F11</f>
        <v>0</v>
      </c>
      <c r="G12" s="36">
        <f t="shared" ref="G12:K12" si="2">G5+G6+G9+G10+G11</f>
        <v>0</v>
      </c>
      <c r="H12" s="36">
        <f t="shared" si="2"/>
        <v>0</v>
      </c>
      <c r="I12" s="36">
        <f t="shared" si="2"/>
        <v>12107.890000000001</v>
      </c>
      <c r="J12" s="36" t="e">
        <f t="shared" si="2"/>
        <v>#REF!</v>
      </c>
      <c r="K12" s="36">
        <f t="shared" si="2"/>
        <v>12107.890000000001</v>
      </c>
      <c r="L12" s="36">
        <f t="shared" ref="L12" si="3">L5+L6+L9+L10+L11</f>
        <v>0</v>
      </c>
      <c r="M12" s="36">
        <f t="shared" ref="M12" si="4">M5+M6+M9+M10+M11</f>
        <v>0</v>
      </c>
      <c r="N12" s="36">
        <f t="shared" ref="N12" si="5">N5+N6+N9+N10+N11</f>
        <v>0</v>
      </c>
      <c r="O12" s="15"/>
      <c r="P12" s="15"/>
    </row>
    <row r="15" spans="1:16" ht="18.75" customHeight="1">
      <c r="A15" s="44"/>
      <c r="B15" s="44"/>
      <c r="C15" s="44"/>
      <c r="D15" s="44"/>
      <c r="E15" s="44"/>
      <c r="F15" s="44"/>
      <c r="G15" s="44"/>
      <c r="H15" s="34"/>
      <c r="I15" s="44"/>
      <c r="J15" s="44"/>
      <c r="K15" s="44"/>
      <c r="L15" s="44"/>
    </row>
  </sheetData>
  <mergeCells count="15">
    <mergeCell ref="A1:N1"/>
    <mergeCell ref="M3:N3"/>
    <mergeCell ref="C3:C4"/>
    <mergeCell ref="D3:D4"/>
    <mergeCell ref="E3:E4"/>
    <mergeCell ref="F3:F4"/>
    <mergeCell ref="H3:H4"/>
    <mergeCell ref="I3:I4"/>
    <mergeCell ref="J3:J4"/>
    <mergeCell ref="G3:G4"/>
    <mergeCell ref="F2:H2"/>
    <mergeCell ref="K3:K4"/>
    <mergeCell ref="L3:L4"/>
    <mergeCell ref="A3:A4"/>
    <mergeCell ref="B3:B4"/>
  </mergeCells>
  <phoneticPr fontId="3" type="noConversion"/>
  <pageMargins left="0.2" right="0.2" top="1" bottom="0.23" header="0.5" footer="0.19"/>
  <pageSetup paperSize="9" scale="82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0"/>
  <sheetViews>
    <sheetView tabSelected="1" zoomScale="80" zoomScaleNormal="80" zoomScaleSheetLayoutView="80" workbookViewId="0">
      <selection activeCell="H14" sqref="H14"/>
    </sheetView>
  </sheetViews>
  <sheetFormatPr defaultRowHeight="15.75"/>
  <cols>
    <col min="1" max="1" width="24.42578125" style="17" customWidth="1"/>
    <col min="2" max="2" width="12.28515625" style="17" customWidth="1"/>
    <col min="3" max="3" width="13.140625" style="17" bestFit="1" customWidth="1"/>
    <col min="4" max="6" width="11.28515625" style="17" bestFit="1" customWidth="1"/>
    <col min="7" max="7" width="11.140625" style="17" customWidth="1"/>
    <col min="8" max="8" width="10.28515625" style="17" customWidth="1"/>
    <col min="9" max="9" width="10.85546875" style="17" customWidth="1"/>
    <col min="10" max="10" width="11.28515625" style="17" customWidth="1"/>
    <col min="11" max="11" width="11.28515625" style="17" bestFit="1" customWidth="1"/>
    <col min="12" max="12" width="10.5703125" style="17" customWidth="1"/>
    <col min="13" max="13" width="9.85546875" style="17" customWidth="1"/>
    <col min="14" max="14" width="13.42578125" style="17" customWidth="1"/>
    <col min="15" max="15" width="11.28515625" style="17" bestFit="1" customWidth="1"/>
    <col min="16" max="16384" width="9.140625" style="17"/>
  </cols>
  <sheetData>
    <row r="1" spans="1:14" ht="23.25" customHeight="1">
      <c r="A1" s="150" t="s">
        <v>77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9.5" customHeight="1">
      <c r="A2" s="90" t="s">
        <v>64</v>
      </c>
      <c r="B2" s="31"/>
      <c r="C2" s="31"/>
      <c r="D2" s="31"/>
      <c r="E2" s="151" t="s">
        <v>42</v>
      </c>
      <c r="F2" s="151"/>
      <c r="G2" s="151"/>
      <c r="H2" s="151"/>
      <c r="I2" s="151"/>
      <c r="J2" s="151"/>
      <c r="K2" s="31"/>
      <c r="L2" s="31"/>
      <c r="M2" s="31"/>
      <c r="N2" s="31"/>
    </row>
    <row r="3" spans="1:14" s="20" customFormat="1">
      <c r="A3" s="18"/>
      <c r="B3" s="58" t="s">
        <v>19</v>
      </c>
      <c r="C3" s="58" t="s">
        <v>20</v>
      </c>
      <c r="D3" s="58" t="s">
        <v>21</v>
      </c>
      <c r="E3" s="58" t="s">
        <v>22</v>
      </c>
      <c r="F3" s="58" t="s">
        <v>23</v>
      </c>
      <c r="G3" s="58" t="s">
        <v>24</v>
      </c>
      <c r="H3" s="58" t="s">
        <v>25</v>
      </c>
      <c r="I3" s="58" t="s">
        <v>26</v>
      </c>
      <c r="J3" s="58" t="s">
        <v>27</v>
      </c>
      <c r="K3" s="58" t="s">
        <v>28</v>
      </c>
      <c r="L3" s="58" t="s">
        <v>29</v>
      </c>
      <c r="M3" s="58" t="s">
        <v>30</v>
      </c>
      <c r="N3" s="19" t="s">
        <v>35</v>
      </c>
    </row>
    <row r="4" spans="1:14" ht="16.5" thickBot="1">
      <c r="A4" s="147">
        <v>2271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9"/>
    </row>
    <row r="5" spans="1:14" ht="16.5" thickBot="1">
      <c r="A5" s="63" t="s">
        <v>48</v>
      </c>
      <c r="B5" s="68"/>
      <c r="C5" s="68">
        <v>1520</v>
      </c>
      <c r="D5" s="68">
        <v>767.02</v>
      </c>
      <c r="E5" s="68">
        <v>767.02</v>
      </c>
      <c r="F5" s="68">
        <v>1883.51</v>
      </c>
      <c r="G5" s="68"/>
      <c r="H5" s="68"/>
      <c r="I5" s="68"/>
      <c r="J5" s="68"/>
      <c r="K5" s="68"/>
      <c r="L5" s="68">
        <v>0</v>
      </c>
      <c r="M5" s="68"/>
      <c r="N5" s="65">
        <f>SUM(B5:M5)</f>
        <v>4937.55</v>
      </c>
    </row>
    <row r="6" spans="1:14" s="26" customFormat="1" ht="16.5" thickBot="1">
      <c r="A6" s="69" t="s">
        <v>36</v>
      </c>
      <c r="B6" s="70"/>
      <c r="C6" s="70">
        <f>C5/C7</f>
        <v>3835.4781731011863</v>
      </c>
      <c r="D6" s="70">
        <f>D5/D7</f>
        <v>3835.1</v>
      </c>
      <c r="E6" s="70">
        <f>E5/E7</f>
        <v>3835.1</v>
      </c>
      <c r="F6" s="70">
        <f>F5/F7</f>
        <v>3843.8979591836737</v>
      </c>
      <c r="G6" s="70"/>
      <c r="H6" s="70"/>
      <c r="I6" s="70"/>
      <c r="J6" s="70"/>
      <c r="K6" s="70"/>
      <c r="L6" s="70"/>
      <c r="M6" s="70"/>
      <c r="N6" s="97">
        <f>N5/N7</f>
        <v>3838.5679856954057</v>
      </c>
    </row>
    <row r="7" spans="1:14">
      <c r="A7" s="57" t="s">
        <v>37</v>
      </c>
      <c r="B7" s="41"/>
      <c r="C7" s="21">
        <v>0.39629999999999999</v>
      </c>
      <c r="D7" s="28">
        <v>0.2</v>
      </c>
      <c r="E7" s="28">
        <v>0.2</v>
      </c>
      <c r="F7" s="27">
        <v>0.49</v>
      </c>
      <c r="G7" s="27"/>
      <c r="H7" s="27"/>
      <c r="I7" s="27"/>
      <c r="J7" s="27"/>
      <c r="K7" s="27"/>
      <c r="L7" s="28"/>
      <c r="M7" s="28"/>
      <c r="N7" s="104">
        <f>B7+C7+D7+E7+F7+G7+H7+I7+J7+K7+L7+M7</f>
        <v>1.2863</v>
      </c>
    </row>
    <row r="8" spans="1:14" ht="16.5" thickBot="1">
      <c r="A8" s="147">
        <v>2272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/>
    </row>
    <row r="9" spans="1:14" ht="16.5" thickBot="1">
      <c r="A9" s="63" t="s">
        <v>48</v>
      </c>
      <c r="B9" s="68">
        <f>B10+B12</f>
        <v>0</v>
      </c>
      <c r="C9" s="68">
        <f t="shared" ref="C9:M9" si="0">C10+C12</f>
        <v>155.94</v>
      </c>
      <c r="D9" s="68">
        <f t="shared" si="0"/>
        <v>78</v>
      </c>
      <c r="E9" s="68">
        <f t="shared" si="0"/>
        <v>77.61</v>
      </c>
      <c r="F9" s="68">
        <f t="shared" si="0"/>
        <v>78.27</v>
      </c>
      <c r="G9" s="68">
        <f t="shared" si="0"/>
        <v>77.210000000000008</v>
      </c>
      <c r="H9" s="68">
        <f t="shared" si="0"/>
        <v>158.88</v>
      </c>
      <c r="I9" s="68">
        <f t="shared" si="0"/>
        <v>0</v>
      </c>
      <c r="J9" s="68">
        <f t="shared" si="0"/>
        <v>0</v>
      </c>
      <c r="K9" s="68">
        <f t="shared" si="0"/>
        <v>0</v>
      </c>
      <c r="L9" s="68">
        <f t="shared" si="0"/>
        <v>0</v>
      </c>
      <c r="M9" s="68">
        <f t="shared" si="0"/>
        <v>0</v>
      </c>
      <c r="N9" s="65">
        <f>SUM(B9:M9)</f>
        <v>625.91</v>
      </c>
    </row>
    <row r="10" spans="1:14">
      <c r="A10" s="59" t="s">
        <v>12</v>
      </c>
      <c r="B10" s="61"/>
      <c r="C10" s="61">
        <v>70.760000000000005</v>
      </c>
      <c r="D10" s="61">
        <v>35</v>
      </c>
      <c r="E10" s="61">
        <v>35.1</v>
      </c>
      <c r="F10" s="61">
        <v>35.47</v>
      </c>
      <c r="G10" s="61">
        <v>34.89</v>
      </c>
      <c r="H10" s="61">
        <v>72.06</v>
      </c>
      <c r="I10" s="61"/>
      <c r="J10" s="61"/>
      <c r="K10" s="61">
        <v>0</v>
      </c>
      <c r="L10" s="61">
        <v>0</v>
      </c>
      <c r="M10" s="61"/>
      <c r="N10" s="62">
        <f>SUM(B10:M10)</f>
        <v>283.28000000000003</v>
      </c>
    </row>
    <row r="11" spans="1:14">
      <c r="A11" s="23" t="s">
        <v>36</v>
      </c>
      <c r="B11" s="24"/>
      <c r="C11" s="24">
        <f>SUM(C10/C14)</f>
        <v>35.380000000000003</v>
      </c>
      <c r="D11" s="24">
        <f t="shared" ref="D11:I11" si="1">D10/D14</f>
        <v>35</v>
      </c>
      <c r="E11" s="24">
        <f t="shared" si="1"/>
        <v>35.1</v>
      </c>
      <c r="F11" s="24">
        <f t="shared" si="1"/>
        <v>31.754700089525514</v>
      </c>
      <c r="G11" s="24">
        <f t="shared" si="1"/>
        <v>31.718181818181815</v>
      </c>
      <c r="H11" s="24">
        <f t="shared" si="1"/>
        <v>31.758483913618335</v>
      </c>
      <c r="I11" s="24" t="e">
        <f t="shared" si="1"/>
        <v>#DIV/0!</v>
      </c>
      <c r="J11" s="24" t="e">
        <f>J10/J14</f>
        <v>#DIV/0!</v>
      </c>
      <c r="K11" s="24" t="e">
        <f>K10/K14</f>
        <v>#DIV/0!</v>
      </c>
      <c r="L11" s="24" t="e">
        <f>L10/L14</f>
        <v>#DIV/0!</v>
      </c>
      <c r="M11" s="24"/>
      <c r="N11" s="25">
        <f>N10/N14</f>
        <v>33.382041008720243</v>
      </c>
    </row>
    <row r="12" spans="1:14">
      <c r="A12" s="57" t="s">
        <v>13</v>
      </c>
      <c r="B12" s="21"/>
      <c r="C12" s="21">
        <v>85.18</v>
      </c>
      <c r="D12" s="21">
        <v>43</v>
      </c>
      <c r="E12" s="21">
        <v>42.51</v>
      </c>
      <c r="F12" s="21">
        <v>42.8</v>
      </c>
      <c r="G12" s="21">
        <v>42.32</v>
      </c>
      <c r="H12" s="21">
        <v>86.82</v>
      </c>
      <c r="I12" s="21"/>
      <c r="J12" s="21"/>
      <c r="K12" s="21"/>
      <c r="L12" s="21"/>
      <c r="M12" s="21"/>
      <c r="N12" s="62">
        <f>SUM(B12:M12)</f>
        <v>342.63</v>
      </c>
    </row>
    <row r="13" spans="1:14" s="26" customFormat="1">
      <c r="A13" s="23" t="s">
        <v>36</v>
      </c>
      <c r="B13" s="24"/>
      <c r="C13" s="24">
        <f>SUM(C12/C14)</f>
        <v>42.59</v>
      </c>
      <c r="D13" s="24">
        <f t="shared" ref="D13:L13" si="2">D12/D14</f>
        <v>43</v>
      </c>
      <c r="E13" s="24">
        <f t="shared" si="2"/>
        <v>42.51</v>
      </c>
      <c r="F13" s="24">
        <f t="shared" si="2"/>
        <v>38.31692032229185</v>
      </c>
      <c r="G13" s="24">
        <f t="shared" si="2"/>
        <v>38.472727272727269</v>
      </c>
      <c r="H13" s="24">
        <f t="shared" si="2"/>
        <v>38.263552225650059</v>
      </c>
      <c r="I13" s="24" t="e">
        <f t="shared" si="2"/>
        <v>#DIV/0!</v>
      </c>
      <c r="J13" s="24" t="e">
        <f t="shared" si="2"/>
        <v>#DIV/0!</v>
      </c>
      <c r="K13" s="24" t="e">
        <f t="shared" si="2"/>
        <v>#DIV/0!</v>
      </c>
      <c r="L13" s="24" t="e">
        <f t="shared" si="2"/>
        <v>#DIV/0!</v>
      </c>
      <c r="M13" s="24"/>
      <c r="N13" s="62">
        <f>N12/N14</f>
        <v>40.3759132689135</v>
      </c>
    </row>
    <row r="14" spans="1:14">
      <c r="A14" s="57" t="s">
        <v>38</v>
      </c>
      <c r="B14" s="32"/>
      <c r="C14" s="21">
        <v>2</v>
      </c>
      <c r="D14" s="32">
        <v>1</v>
      </c>
      <c r="E14" s="32">
        <v>1</v>
      </c>
      <c r="F14" s="32">
        <v>1.117</v>
      </c>
      <c r="G14" s="32">
        <v>1.1000000000000001</v>
      </c>
      <c r="H14" s="32">
        <v>2.2690000000000001</v>
      </c>
      <c r="I14" s="32"/>
      <c r="J14" s="32"/>
      <c r="K14" s="32"/>
      <c r="L14" s="32"/>
      <c r="M14" s="32"/>
      <c r="N14" s="22">
        <f>SUM(B14:M14)</f>
        <v>8.4860000000000007</v>
      </c>
    </row>
    <row r="15" spans="1:14" ht="16.5" thickBot="1">
      <c r="A15" s="147">
        <v>2273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9"/>
    </row>
    <row r="16" spans="1:14" ht="16.5" thickBot="1">
      <c r="A16" s="66" t="s">
        <v>48</v>
      </c>
      <c r="B16" s="67">
        <f>B17+B20+B22</f>
        <v>2236.6</v>
      </c>
      <c r="C16" s="67">
        <f t="shared" ref="C16:M16" si="3">C17+C20+C22</f>
        <v>583.51</v>
      </c>
      <c r="D16" s="67">
        <f t="shared" si="3"/>
        <v>583.51</v>
      </c>
      <c r="E16" s="67">
        <f t="shared" si="3"/>
        <v>583.51</v>
      </c>
      <c r="F16" s="67">
        <f t="shared" si="3"/>
        <v>2122.42</v>
      </c>
      <c r="G16" s="67">
        <f t="shared" si="3"/>
        <v>829.29</v>
      </c>
      <c r="H16" s="67">
        <f t="shared" si="3"/>
        <v>378.34</v>
      </c>
      <c r="I16" s="67">
        <f t="shared" si="3"/>
        <v>0</v>
      </c>
      <c r="J16" s="67">
        <f t="shared" si="3"/>
        <v>0</v>
      </c>
      <c r="K16" s="67">
        <f t="shared" si="3"/>
        <v>0</v>
      </c>
      <c r="L16" s="67">
        <f t="shared" si="3"/>
        <v>0</v>
      </c>
      <c r="M16" s="67">
        <f t="shared" si="3"/>
        <v>0</v>
      </c>
      <c r="N16" s="65">
        <f>SUM(B16:M16)</f>
        <v>7317.18</v>
      </c>
    </row>
    <row r="17" spans="1:14">
      <c r="A17" s="59" t="s">
        <v>49</v>
      </c>
      <c r="B17" s="61">
        <v>2000</v>
      </c>
      <c r="C17" s="61">
        <v>461.09</v>
      </c>
      <c r="D17" s="61">
        <v>461.09</v>
      </c>
      <c r="E17" s="61">
        <v>461.09</v>
      </c>
      <c r="F17" s="61">
        <v>2000</v>
      </c>
      <c r="G17" s="61">
        <v>662.02</v>
      </c>
      <c r="H17" s="61">
        <v>289.14</v>
      </c>
      <c r="I17" s="61">
        <v>0</v>
      </c>
      <c r="J17" s="61">
        <v>0</v>
      </c>
      <c r="K17" s="61">
        <v>0</v>
      </c>
      <c r="L17" s="61"/>
      <c r="M17" s="61"/>
      <c r="N17" s="62">
        <f>SUM(B17:M17)</f>
        <v>6334.4300000000012</v>
      </c>
    </row>
    <row r="18" spans="1:14" s="26" customFormat="1">
      <c r="A18" s="23" t="s">
        <v>36</v>
      </c>
      <c r="B18" s="24">
        <f>B17/B19</f>
        <v>8.6903623881115841</v>
      </c>
      <c r="C18" s="24">
        <f>C17/C19</f>
        <v>8.3804071246819323</v>
      </c>
      <c r="D18" s="24">
        <v>8.3834700000000009</v>
      </c>
      <c r="E18" s="24">
        <v>8.3800000000000008</v>
      </c>
      <c r="F18" s="24">
        <v>8.3800000000000008</v>
      </c>
      <c r="G18" s="24">
        <v>8.3800000000000008</v>
      </c>
      <c r="H18" s="24">
        <v>6.7069999999999999</v>
      </c>
      <c r="I18" s="24">
        <v>0</v>
      </c>
      <c r="J18" s="24">
        <v>0</v>
      </c>
      <c r="K18" s="24">
        <v>0</v>
      </c>
      <c r="L18" s="24"/>
      <c r="M18" s="24"/>
      <c r="N18" s="62">
        <f>N17/N19</f>
        <v>8.3792061369277917</v>
      </c>
    </row>
    <row r="19" spans="1:14" s="26" customFormat="1">
      <c r="A19" s="22" t="s">
        <v>39</v>
      </c>
      <c r="B19" s="24">
        <v>230.14</v>
      </c>
      <c r="C19" s="24">
        <v>55.02</v>
      </c>
      <c r="D19" s="24">
        <v>55.02</v>
      </c>
      <c r="E19" s="24">
        <v>55.02</v>
      </c>
      <c r="F19" s="24">
        <v>238.66</v>
      </c>
      <c r="G19" s="24">
        <f>G17/G18</f>
        <v>78.999999999999986</v>
      </c>
      <c r="H19" s="24">
        <f>H17/H18</f>
        <v>43.110183390487549</v>
      </c>
      <c r="I19" s="24">
        <v>0</v>
      </c>
      <c r="J19" s="24">
        <v>0</v>
      </c>
      <c r="K19" s="24">
        <v>0</v>
      </c>
      <c r="L19" s="24"/>
      <c r="M19" s="24"/>
      <c r="N19" s="62">
        <f>SUM(B19:M19)</f>
        <v>755.97018339048748</v>
      </c>
    </row>
    <row r="20" spans="1:14" s="26" customFormat="1">
      <c r="A20" s="57" t="s">
        <v>45</v>
      </c>
      <c r="B20" s="24">
        <v>236.6</v>
      </c>
      <c r="C20" s="24">
        <v>122.42</v>
      </c>
      <c r="D20" s="24">
        <v>122.42</v>
      </c>
      <c r="E20" s="24">
        <v>122.42</v>
      </c>
      <c r="F20" s="24">
        <v>122.42</v>
      </c>
      <c r="G20" s="24">
        <v>167.27</v>
      </c>
      <c r="H20" s="24">
        <v>89.2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62">
        <f>SUM(B20:M20)</f>
        <v>982.75</v>
      </c>
    </row>
    <row r="21" spans="1:14" s="26" customFormat="1">
      <c r="A21" s="23" t="s">
        <v>36</v>
      </c>
      <c r="B21" s="24">
        <v>2.23</v>
      </c>
      <c r="C21" s="24">
        <f t="shared" ref="C21" si="4">C20/C19</f>
        <v>2.2250090876045072</v>
      </c>
      <c r="D21" s="24">
        <v>2.23</v>
      </c>
      <c r="E21" s="24">
        <v>2.23</v>
      </c>
      <c r="F21" s="24">
        <v>2.23</v>
      </c>
      <c r="G21" s="24">
        <v>2.23</v>
      </c>
      <c r="H21" s="24">
        <v>2.23</v>
      </c>
      <c r="I21" s="24">
        <v>0</v>
      </c>
      <c r="J21" s="24">
        <v>0</v>
      </c>
      <c r="K21" s="24">
        <v>0</v>
      </c>
      <c r="L21" s="24"/>
      <c r="M21" s="24"/>
      <c r="N21" s="62">
        <v>2.23</v>
      </c>
    </row>
    <row r="22" spans="1:14" s="26" customFormat="1">
      <c r="A22" s="57" t="s">
        <v>50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62">
        <f>SUM(B22:M22)</f>
        <v>0</v>
      </c>
    </row>
    <row r="23" spans="1:14" ht="16.5" hidden="1" thickBot="1">
      <c r="A23" s="147">
        <v>2274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</row>
    <row r="24" spans="1:14" ht="16.5" hidden="1" thickBot="1">
      <c r="A24" s="66" t="s">
        <v>48</v>
      </c>
      <c r="B24" s="67">
        <f>B25+B27</f>
        <v>0</v>
      </c>
      <c r="C24" s="67">
        <f t="shared" ref="C24:M24" si="5">C25+C27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  <c r="H24" s="67">
        <f t="shared" si="5"/>
        <v>0</v>
      </c>
      <c r="I24" s="67">
        <f t="shared" si="5"/>
        <v>0</v>
      </c>
      <c r="J24" s="67">
        <f t="shared" si="5"/>
        <v>0</v>
      </c>
      <c r="K24" s="67">
        <f t="shared" si="5"/>
        <v>0</v>
      </c>
      <c r="L24" s="67">
        <f t="shared" si="5"/>
        <v>0</v>
      </c>
      <c r="M24" s="67">
        <f t="shared" si="5"/>
        <v>0</v>
      </c>
      <c r="N24" s="65">
        <f>SUM(B24:M24)</f>
        <v>0</v>
      </c>
    </row>
    <row r="25" spans="1:14" hidden="1">
      <c r="A25" s="59" t="s">
        <v>51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2">
        <f>SUM(B25:M25)</f>
        <v>0</v>
      </c>
    </row>
    <row r="26" spans="1:14" hidden="1">
      <c r="A26" s="23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</row>
    <row r="27" spans="1:14" hidden="1">
      <c r="A27" s="57" t="s">
        <v>52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>
        <f>SUM(B27:M27)</f>
        <v>0</v>
      </c>
    </row>
    <row r="28" spans="1:14" hidden="1">
      <c r="A28" s="23" t="s">
        <v>36</v>
      </c>
      <c r="B28" s="24" t="e">
        <f>B27/B29</f>
        <v>#DIV/0!</v>
      </c>
      <c r="C28" s="24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5" t="e">
        <f>SUM(B28:M28)/1</f>
        <v>#DIV/0!</v>
      </c>
    </row>
    <row r="29" spans="1:14" hidden="1">
      <c r="A29" s="57" t="s">
        <v>38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>
        <f>SUM(B29:M29)</f>
        <v>0</v>
      </c>
    </row>
    <row r="30" spans="1:14" ht="16.5" thickBot="1">
      <c r="A30" s="147">
        <v>2275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</row>
    <row r="31" spans="1:14" ht="16.5" thickBot="1">
      <c r="A31" s="63" t="s">
        <v>48</v>
      </c>
      <c r="B31" s="64">
        <f>B32+B35</f>
        <v>0</v>
      </c>
      <c r="C31" s="68">
        <f t="shared" ref="C31:M31" si="6">C32+C35</f>
        <v>0</v>
      </c>
      <c r="D31" s="68">
        <v>89.99</v>
      </c>
      <c r="E31" s="68">
        <f t="shared" si="6"/>
        <v>0</v>
      </c>
      <c r="F31" s="68">
        <f t="shared" si="6"/>
        <v>38.380000000000003</v>
      </c>
      <c r="G31" s="68">
        <f t="shared" si="6"/>
        <v>19.190000000000001</v>
      </c>
      <c r="H31" s="68">
        <f t="shared" si="6"/>
        <v>62.44</v>
      </c>
      <c r="I31" s="68">
        <f t="shared" si="6"/>
        <v>0</v>
      </c>
      <c r="J31" s="68">
        <f>J32+J35</f>
        <v>0</v>
      </c>
      <c r="K31" s="68">
        <f t="shared" si="6"/>
        <v>0</v>
      </c>
      <c r="L31" s="68">
        <f t="shared" si="6"/>
        <v>0</v>
      </c>
      <c r="M31" s="68">
        <f t="shared" si="6"/>
        <v>0</v>
      </c>
      <c r="N31" s="65">
        <f>SUM(B31:M31)</f>
        <v>210</v>
      </c>
    </row>
    <row r="32" spans="1:14">
      <c r="A32" s="59" t="s">
        <v>46</v>
      </c>
      <c r="B32" s="60"/>
      <c r="C32" s="61">
        <v>0</v>
      </c>
      <c r="D32" s="61">
        <v>89.99</v>
      </c>
      <c r="E32" s="61">
        <v>0</v>
      </c>
      <c r="F32" s="61">
        <v>38.380000000000003</v>
      </c>
      <c r="G32" s="61">
        <v>19.190000000000001</v>
      </c>
      <c r="H32" s="61">
        <v>62.44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2">
        <f>SUM(B32:M32)</f>
        <v>210</v>
      </c>
    </row>
    <row r="33" spans="1:14">
      <c r="A33" s="23" t="s">
        <v>36</v>
      </c>
      <c r="B33" s="29"/>
      <c r="C33" s="21" t="e">
        <f>C32/C34</f>
        <v>#DIV/0!</v>
      </c>
      <c r="D33" s="21">
        <v>191.9</v>
      </c>
      <c r="E33" s="21">
        <v>0</v>
      </c>
      <c r="F33" s="21">
        <v>191.9</v>
      </c>
      <c r="G33" s="21">
        <v>191.9</v>
      </c>
      <c r="H33" s="21">
        <v>191.9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5">
        <f>D33</f>
        <v>191.9</v>
      </c>
    </row>
    <row r="34" spans="1:14" ht="16.5" thickBot="1">
      <c r="A34" s="57" t="s">
        <v>38</v>
      </c>
      <c r="B34" s="29"/>
      <c r="C34" s="21">
        <v>0</v>
      </c>
      <c r="D34" s="21">
        <f>D32/D33</f>
        <v>0.46894215737363204</v>
      </c>
      <c r="E34" s="21">
        <v>0</v>
      </c>
      <c r="F34" s="21">
        <f t="shared" ref="F34:H34" si="7">F32/F33</f>
        <v>0.2</v>
      </c>
      <c r="G34" s="21">
        <f t="shared" si="7"/>
        <v>0.1</v>
      </c>
      <c r="H34" s="21">
        <f t="shared" si="7"/>
        <v>0.32537780093798851</v>
      </c>
      <c r="I34" s="21"/>
      <c r="J34" s="21"/>
      <c r="K34" s="21"/>
      <c r="L34" s="21">
        <v>0</v>
      </c>
      <c r="M34" s="21"/>
      <c r="N34" s="22">
        <f>SUM(B34:M34)</f>
        <v>1.0943199583116205</v>
      </c>
    </row>
    <row r="35" spans="1:14" hidden="1">
      <c r="A35" s="57" t="s">
        <v>47</v>
      </c>
      <c r="B35" s="29"/>
      <c r="C35" s="27"/>
      <c r="D35" s="21"/>
      <c r="E35" s="21"/>
      <c r="F35" s="21"/>
      <c r="G35" s="32"/>
      <c r="H35" s="32"/>
      <c r="I35" s="28"/>
      <c r="J35" s="28"/>
      <c r="K35" s="21"/>
      <c r="L35" s="21"/>
      <c r="M35" s="21"/>
      <c r="N35" s="46">
        <f>SUM(B35:M35)</f>
        <v>0</v>
      </c>
    </row>
    <row r="36" spans="1:14" hidden="1">
      <c r="A36" s="23" t="s">
        <v>36</v>
      </c>
      <c r="B36" s="29"/>
      <c r="C36" s="27"/>
      <c r="D36" s="21"/>
      <c r="E36" s="21"/>
      <c r="F36" s="21"/>
      <c r="G36" s="32"/>
      <c r="H36" s="32"/>
      <c r="I36" s="28"/>
      <c r="J36" s="28"/>
      <c r="K36" s="21"/>
      <c r="L36" s="21"/>
      <c r="M36" s="21"/>
      <c r="N36" s="72">
        <f>SUM(B36:M36)/1</f>
        <v>0</v>
      </c>
    </row>
    <row r="37" spans="1:14" hidden="1">
      <c r="A37" s="98" t="s">
        <v>38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0">
        <f>SUM(B37:M37)</f>
        <v>0</v>
      </c>
    </row>
    <row r="38" spans="1:14" ht="16.5" thickBot="1">
      <c r="A38" s="101" t="s">
        <v>40</v>
      </c>
      <c r="B38" s="102">
        <f t="shared" ref="B38:N38" si="8">B31+B16+B9+B5</f>
        <v>2236.6</v>
      </c>
      <c r="C38" s="102">
        <f t="shared" si="8"/>
        <v>2259.4499999999998</v>
      </c>
      <c r="D38" s="102">
        <f t="shared" si="8"/>
        <v>1518.52</v>
      </c>
      <c r="E38" s="102">
        <f t="shared" si="8"/>
        <v>1428.1399999999999</v>
      </c>
      <c r="F38" s="102">
        <f t="shared" si="8"/>
        <v>4122.58</v>
      </c>
      <c r="G38" s="102">
        <f t="shared" si="8"/>
        <v>925.69</v>
      </c>
      <c r="H38" s="102">
        <f t="shared" si="8"/>
        <v>599.66</v>
      </c>
      <c r="I38" s="102">
        <f t="shared" si="8"/>
        <v>0</v>
      </c>
      <c r="J38" s="102">
        <f t="shared" si="8"/>
        <v>0</v>
      </c>
      <c r="K38" s="102">
        <f t="shared" si="8"/>
        <v>0</v>
      </c>
      <c r="L38" s="102">
        <f t="shared" si="8"/>
        <v>0</v>
      </c>
      <c r="M38" s="102">
        <f t="shared" si="8"/>
        <v>0</v>
      </c>
      <c r="N38" s="102">
        <f t="shared" si="8"/>
        <v>13090.64</v>
      </c>
    </row>
    <row r="40" spans="1:14" ht="18.75">
      <c r="B40" s="146"/>
      <c r="C40" s="146"/>
      <c r="D40" s="146"/>
      <c r="E40" s="146"/>
      <c r="F40" s="146"/>
      <c r="G40" s="146"/>
      <c r="H40" s="33"/>
      <c r="I40" s="33"/>
      <c r="J40" s="146"/>
      <c r="K40" s="146"/>
      <c r="L40" s="146"/>
      <c r="M40" s="146"/>
    </row>
  </sheetData>
  <mergeCells count="9">
    <mergeCell ref="J40:M40"/>
    <mergeCell ref="B40:G40"/>
    <mergeCell ref="A30:N30"/>
    <mergeCell ref="A1:N1"/>
    <mergeCell ref="A4:N4"/>
    <mergeCell ref="A8:N8"/>
    <mergeCell ref="A15:N15"/>
    <mergeCell ref="A23:N23"/>
    <mergeCell ref="E2:J2"/>
  </mergeCells>
  <phoneticPr fontId="3" type="noConversion"/>
  <pageMargins left="0.19685039370078741" right="0.19685039370078741" top="0.39370078740157483" bottom="0.39370078740157483" header="0" footer="0"/>
  <pageSetup paperSize="9" scale="8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0"/>
  <sheetViews>
    <sheetView zoomScale="80" zoomScaleNormal="80" zoomScaleSheetLayoutView="80" workbookViewId="0">
      <selection activeCell="I20" sqref="I20"/>
    </sheetView>
  </sheetViews>
  <sheetFormatPr defaultRowHeight="15.75"/>
  <cols>
    <col min="1" max="1" width="24.42578125" style="17" customWidth="1"/>
    <col min="2" max="2" width="12.28515625" style="17" customWidth="1"/>
    <col min="3" max="3" width="13.140625" style="17" bestFit="1" customWidth="1"/>
    <col min="4" max="4" width="12.85546875" style="17" customWidth="1"/>
    <col min="5" max="6" width="11.28515625" style="17" bestFit="1" customWidth="1"/>
    <col min="7" max="7" width="11.140625" style="17" customWidth="1"/>
    <col min="8" max="8" width="11.42578125" style="17" customWidth="1"/>
    <col min="9" max="9" width="12.28515625" style="17" customWidth="1"/>
    <col min="10" max="10" width="12.42578125" style="17" customWidth="1"/>
    <col min="11" max="11" width="10.5703125" style="17" customWidth="1"/>
    <col min="12" max="12" width="10.85546875" style="17" customWidth="1"/>
    <col min="13" max="13" width="11.7109375" style="17" customWidth="1"/>
    <col min="14" max="14" width="14.140625" style="17" customWidth="1"/>
    <col min="15" max="15" width="11.28515625" style="17" bestFit="1" customWidth="1"/>
    <col min="16" max="16384" width="9.140625" style="17"/>
  </cols>
  <sheetData>
    <row r="1" spans="1:14" ht="23.25" customHeight="1">
      <c r="A1" s="150" t="s">
        <v>78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9.5" customHeight="1">
      <c r="A2" s="90" t="s">
        <v>65</v>
      </c>
      <c r="B2" s="31"/>
      <c r="C2" s="31"/>
      <c r="D2" s="31"/>
      <c r="E2" s="151" t="s">
        <v>42</v>
      </c>
      <c r="F2" s="151"/>
      <c r="G2" s="151"/>
      <c r="H2" s="151"/>
      <c r="I2" s="151"/>
      <c r="J2" s="151"/>
      <c r="K2" s="31"/>
      <c r="L2" s="31"/>
      <c r="M2" s="31"/>
      <c r="N2" s="31"/>
    </row>
    <row r="3" spans="1:14" s="20" customFormat="1">
      <c r="A3" s="18"/>
      <c r="B3" s="58" t="s">
        <v>19</v>
      </c>
      <c r="C3" s="58" t="s">
        <v>20</v>
      </c>
      <c r="D3" s="58" t="s">
        <v>21</v>
      </c>
      <c r="E3" s="58" t="s">
        <v>22</v>
      </c>
      <c r="F3" s="58" t="s">
        <v>23</v>
      </c>
      <c r="G3" s="58" t="s">
        <v>24</v>
      </c>
      <c r="H3" s="58" t="s">
        <v>25</v>
      </c>
      <c r="I3" s="58" t="s">
        <v>26</v>
      </c>
      <c r="J3" s="58" t="s">
        <v>27</v>
      </c>
      <c r="K3" s="58" t="s">
        <v>28</v>
      </c>
      <c r="L3" s="58" t="s">
        <v>29</v>
      </c>
      <c r="M3" s="58" t="s">
        <v>30</v>
      </c>
      <c r="N3" s="19" t="s">
        <v>35</v>
      </c>
    </row>
    <row r="4" spans="1:14" ht="16.5" thickBot="1">
      <c r="A4" s="147">
        <v>2271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9"/>
    </row>
    <row r="5" spans="1:14" ht="16.5" thickBot="1">
      <c r="A5" s="63" t="s">
        <v>48</v>
      </c>
      <c r="B5" s="68"/>
      <c r="C5" s="68">
        <v>111102.62</v>
      </c>
      <c r="D5" s="68">
        <v>141130.84</v>
      </c>
      <c r="E5" s="68">
        <v>75973.13</v>
      </c>
      <c r="F5" s="68">
        <v>33692.21</v>
      </c>
      <c r="G5" s="68"/>
      <c r="H5" s="68"/>
      <c r="I5" s="68"/>
      <c r="J5" s="68"/>
      <c r="K5" s="68"/>
      <c r="L5" s="110"/>
      <c r="M5" s="68"/>
      <c r="N5" s="65">
        <f>SUM(B5:M5)</f>
        <v>361898.8</v>
      </c>
    </row>
    <row r="6" spans="1:14" s="26" customFormat="1" ht="16.5" thickBot="1">
      <c r="A6" s="69" t="s">
        <v>36</v>
      </c>
      <c r="B6" s="70"/>
      <c r="C6" s="70">
        <f>C5/C7</f>
        <v>3835.0921643079046</v>
      </c>
      <c r="D6" s="70">
        <f>D5/D7</f>
        <v>3835.0980168370484</v>
      </c>
      <c r="E6" s="70">
        <f>E5/E7</f>
        <v>3835.0898536092886</v>
      </c>
      <c r="F6" s="70">
        <f>F5/F7</f>
        <v>3837.3815489749431</v>
      </c>
      <c r="G6" s="70"/>
      <c r="H6" s="70"/>
      <c r="I6" s="70"/>
      <c r="J6" s="70"/>
      <c r="K6" s="70"/>
      <c r="L6" s="70"/>
      <c r="M6" s="70"/>
      <c r="N6" s="65">
        <f>N5/N7</f>
        <v>3835.3069845421455</v>
      </c>
    </row>
    <row r="7" spans="1:14">
      <c r="A7" s="57" t="s">
        <v>37</v>
      </c>
      <c r="B7" s="41"/>
      <c r="C7" s="21">
        <v>28.97</v>
      </c>
      <c r="D7" s="28">
        <v>36.799799999999998</v>
      </c>
      <c r="E7" s="28">
        <v>19.809999999999999</v>
      </c>
      <c r="F7" s="27">
        <v>8.7799999999999994</v>
      </c>
      <c r="G7" s="27"/>
      <c r="H7" s="27"/>
      <c r="I7" s="27"/>
      <c r="J7" s="27"/>
      <c r="K7" s="27"/>
      <c r="L7" s="28"/>
      <c r="M7" s="28"/>
      <c r="N7" s="104">
        <f>SUM(B7:M7)</f>
        <v>94.359800000000007</v>
      </c>
    </row>
    <row r="8" spans="1:14" ht="16.5" thickBot="1">
      <c r="A8" s="147">
        <v>2272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/>
    </row>
    <row r="9" spans="1:14" ht="16.5" thickBot="1">
      <c r="A9" s="63" t="s">
        <v>48</v>
      </c>
      <c r="B9" s="68">
        <f>B10+B12</f>
        <v>0</v>
      </c>
      <c r="C9" s="68">
        <f t="shared" ref="C9:M9" si="0">C10+C12</f>
        <v>2650.98</v>
      </c>
      <c r="D9" s="68">
        <v>1707.67</v>
      </c>
      <c r="E9" s="68">
        <f t="shared" si="0"/>
        <v>1374.5900000000001</v>
      </c>
      <c r="F9" s="68">
        <f t="shared" si="0"/>
        <v>1872.02</v>
      </c>
      <c r="G9" s="68">
        <f t="shared" si="0"/>
        <v>1811.1599999999999</v>
      </c>
      <c r="H9" s="68">
        <f t="shared" si="0"/>
        <v>874.39</v>
      </c>
      <c r="I9" s="68">
        <f t="shared" si="0"/>
        <v>0</v>
      </c>
      <c r="J9" s="68">
        <f t="shared" si="0"/>
        <v>0</v>
      </c>
      <c r="K9" s="68">
        <f t="shared" si="0"/>
        <v>0</v>
      </c>
      <c r="L9" s="68">
        <f t="shared" si="0"/>
        <v>0</v>
      </c>
      <c r="M9" s="68">
        <f t="shared" si="0"/>
        <v>0</v>
      </c>
      <c r="N9" s="65">
        <f>SUM(B9:M9)</f>
        <v>10290.81</v>
      </c>
    </row>
    <row r="10" spans="1:14">
      <c r="A10" s="59" t="s">
        <v>12</v>
      </c>
      <c r="B10" s="61"/>
      <c r="C10" s="61">
        <v>1202.92</v>
      </c>
      <c r="D10" s="61">
        <v>703.35</v>
      </c>
      <c r="E10" s="61">
        <v>666.9</v>
      </c>
      <c r="F10" s="61">
        <v>886.47</v>
      </c>
      <c r="G10" s="61">
        <v>837.8</v>
      </c>
      <c r="H10" s="61">
        <v>396.88</v>
      </c>
      <c r="I10" s="61"/>
      <c r="J10" s="61"/>
      <c r="K10" s="61"/>
      <c r="L10" s="61">
        <v>0</v>
      </c>
      <c r="M10" s="61"/>
      <c r="N10" s="62">
        <f>SUM(B10:M10)</f>
        <v>4694.3200000000006</v>
      </c>
    </row>
    <row r="11" spans="1:14">
      <c r="A11" s="23" t="s">
        <v>36</v>
      </c>
      <c r="B11" s="24"/>
      <c r="C11" s="24">
        <f>SUM(C10/C14)</f>
        <v>35.380000000000003</v>
      </c>
      <c r="D11" s="24">
        <f t="shared" ref="D11:L11" si="1">D10/D14</f>
        <v>33.492857142857147</v>
      </c>
      <c r="E11" s="24">
        <f t="shared" si="1"/>
        <v>35.1</v>
      </c>
      <c r="F11" s="24">
        <f t="shared" si="1"/>
        <v>37.362808733035493</v>
      </c>
      <c r="G11" s="24">
        <f t="shared" si="1"/>
        <v>36.649168853893265</v>
      </c>
      <c r="H11" s="24">
        <f t="shared" si="1"/>
        <v>39.688000000000002</v>
      </c>
      <c r="I11" s="24" t="e">
        <f t="shared" si="1"/>
        <v>#DIV/0!</v>
      </c>
      <c r="J11" s="24" t="e">
        <f t="shared" si="1"/>
        <v>#DIV/0!</v>
      </c>
      <c r="K11" s="24" t="e">
        <f t="shared" si="1"/>
        <v>#DIV/0!</v>
      </c>
      <c r="L11" s="24" t="e">
        <f t="shared" si="1"/>
        <v>#DIV/0!</v>
      </c>
      <c r="M11" s="24"/>
      <c r="N11" s="25">
        <f>N10/N14</f>
        <v>35.948110823518604</v>
      </c>
    </row>
    <row r="12" spans="1:14">
      <c r="A12" s="57" t="s">
        <v>13</v>
      </c>
      <c r="B12" s="21"/>
      <c r="C12" s="21">
        <v>1448.06</v>
      </c>
      <c r="D12" s="21">
        <v>1004.32</v>
      </c>
      <c r="E12" s="21">
        <v>707.69</v>
      </c>
      <c r="F12" s="21">
        <v>985.55</v>
      </c>
      <c r="G12" s="21">
        <v>973.36</v>
      </c>
      <c r="H12" s="21">
        <v>477.51</v>
      </c>
      <c r="I12" s="21"/>
      <c r="J12" s="21"/>
      <c r="K12" s="21"/>
      <c r="L12" s="21"/>
      <c r="M12" s="21"/>
      <c r="N12" s="22">
        <f>B12+C12+D12+E12+F12+G12+H12+I12+J12+K12+L12+M12</f>
        <v>5596.49</v>
      </c>
    </row>
    <row r="13" spans="1:14" s="26" customFormat="1">
      <c r="A13" s="23" t="s">
        <v>36</v>
      </c>
      <c r="B13" s="24"/>
      <c r="C13" s="24">
        <f>SUM(C12/C14)</f>
        <v>42.589999999999996</v>
      </c>
      <c r="D13" s="24">
        <f t="shared" ref="D13:L13" si="2">D12/D14</f>
        <v>47.824761904761907</v>
      </c>
      <c r="E13" s="24">
        <f t="shared" si="2"/>
        <v>37.246842105263163</v>
      </c>
      <c r="F13" s="24">
        <f t="shared" si="2"/>
        <v>41.538818174154933</v>
      </c>
      <c r="G13" s="24">
        <f t="shared" si="2"/>
        <v>42.579177602799653</v>
      </c>
      <c r="H13" s="24">
        <f t="shared" si="2"/>
        <v>47.750999999999998</v>
      </c>
      <c r="I13" s="24" t="e">
        <f t="shared" si="2"/>
        <v>#DIV/0!</v>
      </c>
      <c r="J13" s="24" t="e">
        <f t="shared" si="2"/>
        <v>#DIV/0!</v>
      </c>
      <c r="K13" s="24" t="e">
        <f t="shared" si="2"/>
        <v>#DIV/0!</v>
      </c>
      <c r="L13" s="24" t="e">
        <f t="shared" si="2"/>
        <v>#DIV/0!</v>
      </c>
      <c r="M13" s="24"/>
      <c r="N13" s="25">
        <f>N12/N14</f>
        <v>42.856738088309612</v>
      </c>
    </row>
    <row r="14" spans="1:14">
      <c r="A14" s="57" t="s">
        <v>38</v>
      </c>
      <c r="B14" s="32"/>
      <c r="C14" s="21">
        <v>34</v>
      </c>
      <c r="D14" s="107">
        <v>21</v>
      </c>
      <c r="E14" s="32">
        <v>19</v>
      </c>
      <c r="F14" s="32">
        <v>23.725999999999999</v>
      </c>
      <c r="G14" s="32">
        <v>22.86</v>
      </c>
      <c r="H14" s="32">
        <v>10</v>
      </c>
      <c r="I14" s="32"/>
      <c r="J14" s="32"/>
      <c r="K14" s="32"/>
      <c r="L14" s="32"/>
      <c r="M14" s="32"/>
      <c r="N14" s="22">
        <f>SUM(B14:M14)</f>
        <v>130.58600000000001</v>
      </c>
    </row>
    <row r="15" spans="1:14" ht="16.5" thickBot="1">
      <c r="A15" s="147">
        <v>2273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9"/>
    </row>
    <row r="16" spans="1:14" ht="16.5" thickBot="1">
      <c r="A16" s="66" t="s">
        <v>48</v>
      </c>
      <c r="B16" s="67">
        <f>B17+B20+B22</f>
        <v>16364.380000000001</v>
      </c>
      <c r="C16" s="67">
        <f t="shared" ref="C16:M16" si="3">C17+C20+C22</f>
        <v>3989.09</v>
      </c>
      <c r="D16" s="67">
        <v>12484.54</v>
      </c>
      <c r="E16" s="67">
        <f t="shared" si="3"/>
        <v>4042.13</v>
      </c>
      <c r="F16" s="67">
        <f t="shared" si="3"/>
        <v>23433.09</v>
      </c>
      <c r="G16" s="67">
        <f t="shared" si="3"/>
        <v>7686.29</v>
      </c>
      <c r="H16" s="67">
        <f t="shared" si="3"/>
        <v>2093.66</v>
      </c>
      <c r="I16" s="67">
        <f t="shared" si="3"/>
        <v>0</v>
      </c>
      <c r="J16" s="67">
        <f t="shared" si="3"/>
        <v>0</v>
      </c>
      <c r="K16" s="67">
        <f t="shared" si="3"/>
        <v>0</v>
      </c>
      <c r="L16" s="67">
        <f t="shared" si="3"/>
        <v>0</v>
      </c>
      <c r="M16" s="67">
        <f t="shared" si="3"/>
        <v>0</v>
      </c>
      <c r="N16" s="65">
        <f>SUM(B16:M16)</f>
        <v>70093.179999999993</v>
      </c>
    </row>
    <row r="17" spans="1:14">
      <c r="A17" s="59" t="s">
        <v>49</v>
      </c>
      <c r="B17" s="61">
        <v>15000</v>
      </c>
      <c r="C17" s="61">
        <v>3152.19</v>
      </c>
      <c r="D17" s="61">
        <v>11528.31</v>
      </c>
      <c r="E17" s="61">
        <v>3194.1</v>
      </c>
      <c r="F17" s="61">
        <v>22438.16</v>
      </c>
      <c r="G17" s="61">
        <v>6303.92</v>
      </c>
      <c r="H17" s="61">
        <v>1603.06</v>
      </c>
      <c r="I17" s="61"/>
      <c r="J17" s="61"/>
      <c r="K17" s="61"/>
      <c r="L17" s="61"/>
      <c r="M17" s="61"/>
      <c r="N17" s="62">
        <f>SUM(B17:M17)</f>
        <v>63219.739999999991</v>
      </c>
    </row>
    <row r="18" spans="1:14" s="26" customFormat="1">
      <c r="A18" s="23" t="s">
        <v>36</v>
      </c>
      <c r="B18" s="24">
        <f>B17/B19</f>
        <v>8.6900099645447604</v>
      </c>
      <c r="C18" s="24">
        <f>C17/C19</f>
        <v>8.3799181199489574</v>
      </c>
      <c r="D18" s="24">
        <f>D17/D19</f>
        <v>8.4988831140108356</v>
      </c>
      <c r="E18" s="24">
        <f t="shared" ref="E18:K18" si="4">E17/E19</f>
        <v>8.3799454297407898</v>
      </c>
      <c r="F18" s="24">
        <v>8.3800000000000008</v>
      </c>
      <c r="G18" s="24">
        <v>8.3800000000000008</v>
      </c>
      <c r="H18" s="24">
        <v>6.7069999999999999</v>
      </c>
      <c r="I18" s="24" t="e">
        <f t="shared" si="4"/>
        <v>#DIV/0!</v>
      </c>
      <c r="J18" s="24" t="e">
        <f t="shared" si="4"/>
        <v>#DIV/0!</v>
      </c>
      <c r="K18" s="24" t="e">
        <f t="shared" si="4"/>
        <v>#DIV/0!</v>
      </c>
      <c r="L18" s="24"/>
      <c r="M18" s="24"/>
      <c r="N18" s="62">
        <f>N17/N19</f>
        <v>8.5628555476632489</v>
      </c>
    </row>
    <row r="19" spans="1:14" s="26" customFormat="1">
      <c r="A19" s="22" t="s">
        <v>39</v>
      </c>
      <c r="B19" s="24">
        <v>1726.12</v>
      </c>
      <c r="C19" s="24">
        <v>376.16</v>
      </c>
      <c r="D19" s="24">
        <v>1356.45</v>
      </c>
      <c r="E19" s="24">
        <v>381.16</v>
      </c>
      <c r="F19" s="24">
        <v>2551.86</v>
      </c>
      <c r="G19" s="24">
        <f>G17/G18</f>
        <v>752.25775656324572</v>
      </c>
      <c r="H19" s="24">
        <f>H17/H18</f>
        <v>239.01297152229014</v>
      </c>
      <c r="I19" s="24"/>
      <c r="J19" s="24"/>
      <c r="K19" s="24"/>
      <c r="L19" s="24"/>
      <c r="M19" s="24"/>
      <c r="N19" s="62">
        <f>SUM(B19:M19)</f>
        <v>7383.0207280855357</v>
      </c>
    </row>
    <row r="20" spans="1:14" s="26" customFormat="1">
      <c r="A20" s="57" t="s">
        <v>45</v>
      </c>
      <c r="B20" s="24">
        <v>1364.38</v>
      </c>
      <c r="C20" s="24">
        <v>836.9</v>
      </c>
      <c r="D20" s="24">
        <v>956.23</v>
      </c>
      <c r="E20" s="24">
        <v>848.03</v>
      </c>
      <c r="F20" s="24">
        <v>994.93</v>
      </c>
      <c r="G20" s="24">
        <v>1382.37</v>
      </c>
      <c r="H20" s="24">
        <v>490.6</v>
      </c>
      <c r="I20" s="24"/>
      <c r="J20" s="24"/>
      <c r="K20" s="24"/>
      <c r="L20" s="24"/>
      <c r="M20" s="24"/>
      <c r="N20" s="62">
        <f>SUM(B20:M20)</f>
        <v>6873.4400000000005</v>
      </c>
    </row>
    <row r="21" spans="1:14" s="26" customFormat="1">
      <c r="A21" s="23" t="s">
        <v>36</v>
      </c>
      <c r="B21" s="24">
        <v>2.23</v>
      </c>
      <c r="C21" s="24">
        <v>2.23</v>
      </c>
      <c r="D21" s="24">
        <v>2.23</v>
      </c>
      <c r="E21" s="24">
        <v>2.23</v>
      </c>
      <c r="F21" s="24">
        <v>2.23</v>
      </c>
      <c r="G21" s="24">
        <v>2.23</v>
      </c>
      <c r="H21" s="24">
        <v>2.23</v>
      </c>
      <c r="I21" s="24" t="e">
        <f t="shared" ref="I21:K21" si="5">I20/I19</f>
        <v>#DIV/0!</v>
      </c>
      <c r="J21" s="24" t="e">
        <f t="shared" si="5"/>
        <v>#DIV/0!</v>
      </c>
      <c r="K21" s="24" t="e">
        <f t="shared" si="5"/>
        <v>#DIV/0!</v>
      </c>
      <c r="L21" s="24"/>
      <c r="M21" s="24"/>
      <c r="N21" s="62">
        <v>2.23</v>
      </c>
    </row>
    <row r="22" spans="1:14" s="26" customFormat="1">
      <c r="A22" s="57" t="s">
        <v>50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62">
        <f>SUM(B22:M22)</f>
        <v>0</v>
      </c>
    </row>
    <row r="23" spans="1:14" ht="16.5" hidden="1" thickBot="1">
      <c r="A23" s="147">
        <v>2274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</row>
    <row r="24" spans="1:14" ht="16.5" hidden="1" thickBot="1">
      <c r="A24" s="66" t="s">
        <v>48</v>
      </c>
      <c r="B24" s="67">
        <f>B25+B27</f>
        <v>0</v>
      </c>
      <c r="C24" s="67">
        <f t="shared" ref="C24:M24" si="6">C25+C27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6"/>
        <v>0</v>
      </c>
      <c r="N24" s="65">
        <f>SUM(B24:M24)</f>
        <v>0</v>
      </c>
    </row>
    <row r="25" spans="1:14" hidden="1">
      <c r="A25" s="59" t="s">
        <v>51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2">
        <f>SUM(B25:M25)</f>
        <v>0</v>
      </c>
    </row>
    <row r="26" spans="1:14" hidden="1">
      <c r="A26" s="23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</row>
    <row r="27" spans="1:14" hidden="1">
      <c r="A27" s="57" t="s">
        <v>52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>
        <f>SUM(B27:M27)</f>
        <v>0</v>
      </c>
    </row>
    <row r="28" spans="1:14" hidden="1">
      <c r="A28" s="23" t="s">
        <v>36</v>
      </c>
      <c r="B28" s="24"/>
      <c r="C28" s="24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5">
        <f>SUM(B28:M28)/1</f>
        <v>0</v>
      </c>
    </row>
    <row r="29" spans="1:14" hidden="1">
      <c r="A29" s="57" t="s">
        <v>38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>
        <f>SUM(B29:M29)</f>
        <v>0</v>
      </c>
    </row>
    <row r="30" spans="1:14" ht="16.5" thickBot="1">
      <c r="A30" s="147">
        <v>2275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</row>
    <row r="31" spans="1:14" ht="16.5" thickBot="1">
      <c r="A31" s="63" t="s">
        <v>48</v>
      </c>
      <c r="B31" s="64">
        <f>B32+B35</f>
        <v>0</v>
      </c>
      <c r="C31" s="64">
        <f t="shared" ref="C31:M31" si="7">C32+C35</f>
        <v>0</v>
      </c>
      <c r="D31" s="64">
        <f t="shared" si="7"/>
        <v>0</v>
      </c>
      <c r="E31" s="64">
        <f t="shared" si="7"/>
        <v>0</v>
      </c>
      <c r="F31" s="64">
        <f t="shared" si="7"/>
        <v>0</v>
      </c>
      <c r="G31" s="64">
        <f t="shared" si="7"/>
        <v>0</v>
      </c>
      <c r="H31" s="105">
        <f t="shared" si="7"/>
        <v>0</v>
      </c>
      <c r="I31" s="64">
        <f t="shared" si="7"/>
        <v>0</v>
      </c>
      <c r="J31" s="64">
        <f t="shared" si="7"/>
        <v>0</v>
      </c>
      <c r="K31" s="64">
        <f t="shared" si="7"/>
        <v>0</v>
      </c>
      <c r="L31" s="64">
        <f t="shared" si="7"/>
        <v>0</v>
      </c>
      <c r="M31" s="64">
        <f t="shared" si="7"/>
        <v>0</v>
      </c>
      <c r="N31" s="65">
        <f>SUM(B31:M31)</f>
        <v>0</v>
      </c>
    </row>
    <row r="32" spans="1:14">
      <c r="A32" s="59" t="s">
        <v>46</v>
      </c>
      <c r="B32" s="60"/>
      <c r="C32" s="61"/>
      <c r="D32" s="61"/>
      <c r="E32" s="61"/>
      <c r="F32" s="61"/>
      <c r="G32" s="61"/>
      <c r="H32" s="106"/>
      <c r="I32" s="61"/>
      <c r="J32" s="61"/>
      <c r="K32" s="61"/>
      <c r="L32" s="61"/>
      <c r="M32" s="61"/>
      <c r="N32" s="62">
        <f>SUM(B32:M32)</f>
        <v>0</v>
      </c>
    </row>
    <row r="33" spans="1:14">
      <c r="A33" s="23" t="s">
        <v>36</v>
      </c>
      <c r="B33" s="29"/>
      <c r="C33" s="21"/>
      <c r="D33" s="21"/>
      <c r="E33" s="21"/>
      <c r="F33" s="21"/>
      <c r="G33" s="21"/>
      <c r="H33" s="107"/>
      <c r="I33" s="21"/>
      <c r="J33" s="21"/>
      <c r="K33" s="21"/>
      <c r="L33" s="21"/>
      <c r="M33" s="21"/>
      <c r="N33" s="25">
        <f>SUM(B33:M33)/9</f>
        <v>0</v>
      </c>
    </row>
    <row r="34" spans="1:14">
      <c r="A34" s="57" t="s">
        <v>38</v>
      </c>
      <c r="B34" s="29"/>
      <c r="C34" s="29"/>
      <c r="D34" s="29"/>
      <c r="E34" s="29"/>
      <c r="F34" s="29"/>
      <c r="G34" s="29"/>
      <c r="H34" s="107"/>
      <c r="I34" s="29"/>
      <c r="J34" s="29"/>
      <c r="K34" s="29"/>
      <c r="L34" s="29"/>
      <c r="M34" s="29"/>
      <c r="N34" s="46">
        <f>SUM(B34:M34)</f>
        <v>0</v>
      </c>
    </row>
    <row r="35" spans="1:14">
      <c r="A35" s="57" t="s">
        <v>70</v>
      </c>
      <c r="B35" s="29"/>
      <c r="C35" s="27"/>
      <c r="D35" s="21"/>
      <c r="E35" s="21"/>
      <c r="F35" s="21"/>
      <c r="G35" s="32"/>
      <c r="H35" s="107"/>
      <c r="I35" s="28"/>
      <c r="J35" s="28"/>
      <c r="K35" s="21"/>
      <c r="L35" s="21"/>
      <c r="M35" s="21"/>
      <c r="N35" s="46">
        <f>SUM(B35:M35)</f>
        <v>0</v>
      </c>
    </row>
    <row r="36" spans="1:14">
      <c r="A36" s="23" t="s">
        <v>36</v>
      </c>
      <c r="B36" s="29"/>
      <c r="C36" s="27"/>
      <c r="D36" s="21"/>
      <c r="E36" s="21"/>
      <c r="F36" s="21"/>
      <c r="G36" s="32"/>
      <c r="H36" s="107" t="e">
        <f>H35/H37</f>
        <v>#DIV/0!</v>
      </c>
      <c r="I36" s="28"/>
      <c r="J36" s="28"/>
      <c r="K36" s="21"/>
      <c r="L36" s="21"/>
      <c r="M36" s="21"/>
      <c r="N36" s="25" t="e">
        <f>SUM(B36:M36)/1</f>
        <v>#DIV/0!</v>
      </c>
    </row>
    <row r="37" spans="1:14" ht="16.5" thickBot="1">
      <c r="A37" s="98" t="s">
        <v>71</v>
      </c>
      <c r="B37" s="99"/>
      <c r="C37" s="99"/>
      <c r="D37" s="99"/>
      <c r="E37" s="99"/>
      <c r="F37" s="99"/>
      <c r="G37" s="99"/>
      <c r="H37" s="108"/>
      <c r="I37" s="99"/>
      <c r="J37" s="99"/>
      <c r="K37" s="99"/>
      <c r="L37" s="99"/>
      <c r="M37" s="99"/>
      <c r="N37" s="100">
        <f>SUM(B37:M37)</f>
        <v>0</v>
      </c>
    </row>
    <row r="38" spans="1:14" ht="16.5" thickBot="1">
      <c r="A38" s="101" t="s">
        <v>40</v>
      </c>
      <c r="B38" s="102">
        <f t="shared" ref="B38:N38" si="8">B31+B16+B9+B5</f>
        <v>16364.380000000001</v>
      </c>
      <c r="C38" s="102">
        <f t="shared" si="8"/>
        <v>117742.69</v>
      </c>
      <c r="D38" s="102">
        <f t="shared" si="8"/>
        <v>155323.04999999999</v>
      </c>
      <c r="E38" s="102">
        <f t="shared" si="8"/>
        <v>81389.850000000006</v>
      </c>
      <c r="F38" s="102">
        <f t="shared" si="8"/>
        <v>58997.32</v>
      </c>
      <c r="G38" s="102">
        <f t="shared" si="8"/>
        <v>9497.4500000000007</v>
      </c>
      <c r="H38" s="102">
        <f t="shared" si="8"/>
        <v>2968.0499999999997</v>
      </c>
      <c r="I38" s="102">
        <f t="shared" si="8"/>
        <v>0</v>
      </c>
      <c r="J38" s="102">
        <f t="shared" si="8"/>
        <v>0</v>
      </c>
      <c r="K38" s="102">
        <f t="shared" si="8"/>
        <v>0</v>
      </c>
      <c r="L38" s="102">
        <f t="shared" si="8"/>
        <v>0</v>
      </c>
      <c r="M38" s="102">
        <f t="shared" si="8"/>
        <v>0</v>
      </c>
      <c r="N38" s="102">
        <f t="shared" si="8"/>
        <v>442282.79</v>
      </c>
    </row>
    <row r="40" spans="1:14" ht="18.75">
      <c r="B40" s="146"/>
      <c r="C40" s="146"/>
      <c r="D40" s="146"/>
      <c r="E40" s="146"/>
      <c r="F40" s="146"/>
      <c r="G40" s="146"/>
      <c r="H40" s="33"/>
      <c r="I40" s="33"/>
      <c r="J40" s="146"/>
      <c r="K40" s="146"/>
      <c r="L40" s="146"/>
      <c r="M40" s="146"/>
    </row>
  </sheetData>
  <mergeCells count="9">
    <mergeCell ref="A30:N30"/>
    <mergeCell ref="B40:G40"/>
    <mergeCell ref="J40:M40"/>
    <mergeCell ref="A1:N1"/>
    <mergeCell ref="E2:J2"/>
    <mergeCell ref="A4:N4"/>
    <mergeCell ref="A8:N8"/>
    <mergeCell ref="A15:N15"/>
    <mergeCell ref="A23:N23"/>
  </mergeCells>
  <pageMargins left="0.19685039370078741" right="0.19685039370078741" top="0.39370078740157483" bottom="0.39370078740157483" header="0" footer="0"/>
  <pageSetup paperSize="9" scale="80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0"/>
  <sheetViews>
    <sheetView zoomScale="80" zoomScaleNormal="80" zoomScaleSheetLayoutView="80" workbookViewId="0">
      <selection sqref="A1:N1"/>
    </sheetView>
  </sheetViews>
  <sheetFormatPr defaultRowHeight="15.75"/>
  <cols>
    <col min="1" max="1" width="24.42578125" style="17" customWidth="1"/>
    <col min="2" max="2" width="12.28515625" style="17" customWidth="1"/>
    <col min="3" max="3" width="13.140625" style="17" bestFit="1" customWidth="1"/>
    <col min="4" max="6" width="11.28515625" style="17" bestFit="1" customWidth="1"/>
    <col min="7" max="7" width="11.140625" style="17" customWidth="1"/>
    <col min="8" max="8" width="11.42578125" style="17" customWidth="1"/>
    <col min="9" max="9" width="11.140625" style="17" customWidth="1"/>
    <col min="10" max="10" width="12.42578125" style="17" customWidth="1"/>
    <col min="11" max="12" width="11.28515625" style="17" bestFit="1" customWidth="1"/>
    <col min="13" max="13" width="11.140625" style="17" customWidth="1"/>
    <col min="14" max="14" width="13.7109375" style="17" customWidth="1"/>
    <col min="15" max="15" width="11.28515625" style="17" bestFit="1" customWidth="1"/>
    <col min="16" max="16384" width="9.140625" style="17"/>
  </cols>
  <sheetData>
    <row r="1" spans="1:14" ht="23.25" customHeight="1">
      <c r="A1" s="150" t="s">
        <v>81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9.5" customHeight="1">
      <c r="A2" s="90" t="s">
        <v>66</v>
      </c>
      <c r="B2" s="31"/>
      <c r="C2" s="31"/>
      <c r="D2" s="31"/>
      <c r="E2" s="151" t="s">
        <v>42</v>
      </c>
      <c r="F2" s="151"/>
      <c r="G2" s="151"/>
      <c r="H2" s="151"/>
      <c r="I2" s="151"/>
      <c r="J2" s="151"/>
      <c r="K2" s="31"/>
      <c r="L2" s="31"/>
      <c r="M2" s="31"/>
      <c r="N2" s="31"/>
    </row>
    <row r="3" spans="1:14" s="20" customFormat="1">
      <c r="A3" s="18"/>
      <c r="B3" s="58" t="s">
        <v>19</v>
      </c>
      <c r="C3" s="58" t="s">
        <v>20</v>
      </c>
      <c r="D3" s="58" t="s">
        <v>21</v>
      </c>
      <c r="E3" s="58" t="s">
        <v>22</v>
      </c>
      <c r="F3" s="58" t="s">
        <v>23</v>
      </c>
      <c r="G3" s="58" t="s">
        <v>24</v>
      </c>
      <c r="H3" s="58" t="s">
        <v>25</v>
      </c>
      <c r="I3" s="58" t="s">
        <v>26</v>
      </c>
      <c r="J3" s="58" t="s">
        <v>27</v>
      </c>
      <c r="K3" s="58" t="s">
        <v>28</v>
      </c>
      <c r="L3" s="58" t="s">
        <v>29</v>
      </c>
      <c r="M3" s="58" t="s">
        <v>30</v>
      </c>
      <c r="N3" s="19" t="s">
        <v>35</v>
      </c>
    </row>
    <row r="4" spans="1:14" ht="16.5" thickBot="1">
      <c r="A4" s="147">
        <v>2271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9"/>
    </row>
    <row r="5" spans="1:14" ht="16.5" thickBot="1">
      <c r="A5" s="63" t="s">
        <v>48</v>
      </c>
      <c r="B5" s="68"/>
      <c r="C5" s="68">
        <v>24195.13</v>
      </c>
      <c r="D5" s="68">
        <v>43269.95</v>
      </c>
      <c r="E5" s="68">
        <v>40361.660000000003</v>
      </c>
      <c r="F5" s="68">
        <v>15385.27</v>
      </c>
      <c r="G5" s="68">
        <v>57.6</v>
      </c>
      <c r="H5" s="68">
        <v>57.6</v>
      </c>
      <c r="I5" s="68"/>
      <c r="J5" s="68"/>
      <c r="K5" s="68"/>
      <c r="L5" s="68"/>
      <c r="M5" s="68"/>
      <c r="N5" s="65">
        <f>SUM(B5:M5)</f>
        <v>123327.21000000002</v>
      </c>
    </row>
    <row r="6" spans="1:14" s="26" customFormat="1">
      <c r="A6" s="69" t="s">
        <v>36</v>
      </c>
      <c r="B6" s="70"/>
      <c r="C6" s="70">
        <v>3828.06</v>
      </c>
      <c r="D6" s="70">
        <f>D5/D7</f>
        <v>3828.081179832438</v>
      </c>
      <c r="E6" s="70">
        <f>E5/E7</f>
        <v>3828.0828979178777</v>
      </c>
      <c r="F6" s="70">
        <v>3835</v>
      </c>
      <c r="G6" s="70">
        <v>57.6</v>
      </c>
      <c r="H6" s="70">
        <v>57.6</v>
      </c>
      <c r="I6" s="70"/>
      <c r="J6" s="70"/>
      <c r="K6" s="70"/>
      <c r="L6" s="70"/>
      <c r="M6" s="70"/>
      <c r="N6" s="71">
        <v>3828.06</v>
      </c>
    </row>
    <row r="7" spans="1:14">
      <c r="A7" s="57" t="s">
        <v>37</v>
      </c>
      <c r="B7" s="41"/>
      <c r="C7" s="107">
        <f>SUM(C5/C6)</f>
        <v>6.3204678087595285</v>
      </c>
      <c r="D7" s="28">
        <v>11.3033</v>
      </c>
      <c r="E7" s="28">
        <v>10.543570000000001</v>
      </c>
      <c r="F7" s="21">
        <v>4.01</v>
      </c>
      <c r="G7" s="27"/>
      <c r="H7" s="27"/>
      <c r="I7" s="27"/>
      <c r="J7" s="27"/>
      <c r="K7" s="27"/>
      <c r="L7" s="28"/>
      <c r="M7" s="28"/>
      <c r="N7" s="113">
        <f>SUM(B7:M7)</f>
        <v>32.177337808759525</v>
      </c>
    </row>
    <row r="8" spans="1:14" ht="16.5" thickBot="1">
      <c r="A8" s="147">
        <v>2272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/>
    </row>
    <row r="9" spans="1:14" ht="16.5" thickBot="1">
      <c r="A9" s="63" t="s">
        <v>48</v>
      </c>
      <c r="B9" s="68">
        <f>B10+B12</f>
        <v>0</v>
      </c>
      <c r="C9" s="68">
        <f>SUM(C10+C12)</f>
        <v>1838.1999999999998</v>
      </c>
      <c r="D9" s="68">
        <v>818.11</v>
      </c>
      <c r="E9" s="68">
        <v>1123.75</v>
      </c>
      <c r="F9" s="68">
        <f t="shared" ref="F9:M9" si="0">F10+F12</f>
        <v>791.54</v>
      </c>
      <c r="G9" s="68">
        <f t="shared" si="0"/>
        <v>538.89</v>
      </c>
      <c r="H9" s="68">
        <f t="shared" si="0"/>
        <v>1894.02</v>
      </c>
      <c r="I9" s="68">
        <f>I10+I12</f>
        <v>0</v>
      </c>
      <c r="J9" s="68">
        <f t="shared" si="0"/>
        <v>0</v>
      </c>
      <c r="K9" s="68"/>
      <c r="L9" s="68">
        <f t="shared" si="0"/>
        <v>0</v>
      </c>
      <c r="M9" s="68">
        <f t="shared" si="0"/>
        <v>0</v>
      </c>
      <c r="N9" s="65">
        <f>SUM(B9:M9)</f>
        <v>7004.51</v>
      </c>
    </row>
    <row r="10" spans="1:14">
      <c r="A10" s="59" t="s">
        <v>12</v>
      </c>
      <c r="B10" s="61"/>
      <c r="C10" s="61">
        <v>823.68</v>
      </c>
      <c r="D10" s="61">
        <f>350-17.5</f>
        <v>332.5</v>
      </c>
      <c r="E10" s="61">
        <v>507.35</v>
      </c>
      <c r="F10" s="61">
        <v>448.74</v>
      </c>
      <c r="G10" s="61">
        <v>327.29000000000002</v>
      </c>
      <c r="H10" s="61">
        <v>939</v>
      </c>
      <c r="I10" s="61"/>
      <c r="J10" s="61"/>
      <c r="K10" s="61"/>
      <c r="L10" s="61"/>
      <c r="M10" s="61"/>
      <c r="N10" s="62">
        <f>SUM(B10:M10)</f>
        <v>3378.5599999999995</v>
      </c>
    </row>
    <row r="11" spans="1:14">
      <c r="A11" s="23" t="s">
        <v>36</v>
      </c>
      <c r="B11" s="24"/>
      <c r="C11" s="24">
        <f>SUM(C10/C14)</f>
        <v>34.32</v>
      </c>
      <c r="D11" s="24">
        <f t="shared" ref="D11:J11" si="1">D10/D14</f>
        <v>33.25</v>
      </c>
      <c r="E11" s="24">
        <f t="shared" si="1"/>
        <v>34.989655172413798</v>
      </c>
      <c r="F11" s="24">
        <f t="shared" si="1"/>
        <v>47.235789473684214</v>
      </c>
      <c r="G11" s="24">
        <v>31.14</v>
      </c>
      <c r="H11" s="24">
        <f t="shared" si="1"/>
        <v>39.165797705943689</v>
      </c>
      <c r="I11" s="24" t="e">
        <f t="shared" si="1"/>
        <v>#DIV/0!</v>
      </c>
      <c r="J11" s="24" t="e">
        <f t="shared" si="1"/>
        <v>#DIV/0!</v>
      </c>
      <c r="K11" s="24" t="e">
        <f>K10/K14</f>
        <v>#DIV/0!</v>
      </c>
      <c r="L11" s="24" t="e">
        <f>L10/L14</f>
        <v>#DIV/0!</v>
      </c>
      <c r="M11" s="24"/>
      <c r="N11" s="62">
        <f>N10/N14</f>
        <v>38.845185398102899</v>
      </c>
    </row>
    <row r="12" spans="1:14">
      <c r="A12" s="57" t="s">
        <v>13</v>
      </c>
      <c r="B12" s="21"/>
      <c r="C12" s="21">
        <v>1014.52</v>
      </c>
      <c r="D12" s="21">
        <v>485.61</v>
      </c>
      <c r="E12" s="21">
        <v>616.4</v>
      </c>
      <c r="F12" s="21">
        <v>342.8</v>
      </c>
      <c r="G12" s="21">
        <v>211.6</v>
      </c>
      <c r="H12" s="21">
        <v>955.02</v>
      </c>
      <c r="I12" s="21"/>
      <c r="J12" s="21"/>
      <c r="K12" s="21"/>
      <c r="L12" s="21"/>
      <c r="M12" s="21"/>
      <c r="N12" s="62">
        <f>SUM(B12:M12)</f>
        <v>3625.9500000000003</v>
      </c>
    </row>
    <row r="13" spans="1:14" s="26" customFormat="1">
      <c r="A13" s="23" t="s">
        <v>36</v>
      </c>
      <c r="B13" s="24"/>
      <c r="C13" s="24">
        <f>SUM(C12/C14)</f>
        <v>42.271666666666668</v>
      </c>
      <c r="D13" s="24">
        <f t="shared" ref="D13:F13" si="2">D12/D14</f>
        <v>48.561</v>
      </c>
      <c r="E13" s="24">
        <f t="shared" si="2"/>
        <v>42.510344827586202</v>
      </c>
      <c r="F13" s="24">
        <f t="shared" si="2"/>
        <v>36.084210526315793</v>
      </c>
      <c r="G13" s="24">
        <v>38.880000000000003</v>
      </c>
      <c r="H13" s="24">
        <f>H12/H14</f>
        <v>39.833993743482793</v>
      </c>
      <c r="I13" s="24" t="e">
        <f>I12/I14</f>
        <v>#DIV/0!</v>
      </c>
      <c r="J13" s="24" t="e">
        <f>J12/J14</f>
        <v>#DIV/0!</v>
      </c>
      <c r="K13" s="24" t="e">
        <f>K12/K14</f>
        <v>#DIV/0!</v>
      </c>
      <c r="L13" s="24" t="e">
        <f>L12/L14</f>
        <v>#DIV/0!</v>
      </c>
      <c r="M13" s="24"/>
      <c r="N13" s="62">
        <f>N12/N14</f>
        <v>41.689565967231971</v>
      </c>
    </row>
    <row r="14" spans="1:14">
      <c r="A14" s="57" t="s">
        <v>38</v>
      </c>
      <c r="B14" s="32"/>
      <c r="C14" s="21">
        <v>24</v>
      </c>
      <c r="D14" s="32">
        <v>10</v>
      </c>
      <c r="E14" s="32">
        <v>14.5</v>
      </c>
      <c r="F14" s="32">
        <v>9.5</v>
      </c>
      <c r="G14" s="32">
        <v>5</v>
      </c>
      <c r="H14" s="109">
        <v>23.975000000000001</v>
      </c>
      <c r="I14" s="32"/>
      <c r="J14" s="32"/>
      <c r="K14" s="32"/>
      <c r="L14" s="32"/>
      <c r="M14" s="32"/>
      <c r="N14" s="22">
        <f>SUM(B14:M14)</f>
        <v>86.974999999999994</v>
      </c>
    </row>
    <row r="15" spans="1:14" ht="16.5" thickBot="1">
      <c r="A15" s="147">
        <v>2273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9"/>
    </row>
    <row r="16" spans="1:14" ht="16.5" thickBot="1">
      <c r="A16" s="66" t="s">
        <v>48</v>
      </c>
      <c r="B16" s="67">
        <f>B17+B20+B22</f>
        <v>16300.34</v>
      </c>
      <c r="C16" s="103">
        <v>10881.84</v>
      </c>
      <c r="D16" s="103">
        <v>13994.98</v>
      </c>
      <c r="E16" s="103">
        <v>12471.64</v>
      </c>
      <c r="F16" s="103">
        <f t="shared" ref="F16:M16" si="3">F17+F20+F22</f>
        <v>17725.16</v>
      </c>
      <c r="G16" s="103">
        <f t="shared" si="3"/>
        <v>8137.0499999999993</v>
      </c>
      <c r="H16" s="103">
        <f t="shared" si="3"/>
        <v>3342.9399999999996</v>
      </c>
      <c r="I16" s="103">
        <f t="shared" si="3"/>
        <v>0</v>
      </c>
      <c r="J16" s="103">
        <f t="shared" si="3"/>
        <v>0</v>
      </c>
      <c r="K16" s="103">
        <f t="shared" si="3"/>
        <v>0</v>
      </c>
      <c r="L16" s="103">
        <f t="shared" si="3"/>
        <v>0</v>
      </c>
      <c r="M16" s="103">
        <f t="shared" si="3"/>
        <v>0</v>
      </c>
      <c r="N16" s="65">
        <f>SUM(B16:M16)</f>
        <v>82853.950000000012</v>
      </c>
    </row>
    <row r="17" spans="1:14">
      <c r="A17" s="59" t="s">
        <v>49</v>
      </c>
      <c r="B17" s="61">
        <v>15206</v>
      </c>
      <c r="C17" s="61">
        <v>9139.0400000000009</v>
      </c>
      <c r="D17" s="61">
        <v>12070.89</v>
      </c>
      <c r="E17" s="61">
        <v>9859.57</v>
      </c>
      <c r="F17" s="61">
        <v>16124.81</v>
      </c>
      <c r="G17" s="61">
        <v>6645.2</v>
      </c>
      <c r="H17" s="61">
        <v>2696.24</v>
      </c>
      <c r="I17" s="61"/>
      <c r="J17" s="61"/>
      <c r="K17" s="61"/>
      <c r="L17" s="61"/>
      <c r="M17" s="61"/>
      <c r="N17" s="62">
        <f>SUM(B17:M17)</f>
        <v>71741.75</v>
      </c>
    </row>
    <row r="18" spans="1:14" s="26" customFormat="1">
      <c r="A18" s="23" t="s">
        <v>36</v>
      </c>
      <c r="B18" s="24">
        <f>B17/B19</f>
        <v>8.6900366894880623</v>
      </c>
      <c r="C18" s="24">
        <f t="shared" ref="C18:H18" si="4">C17/C19</f>
        <v>8.8786297883089009</v>
      </c>
      <c r="D18" s="24">
        <f>D17/D19</f>
        <v>8.860929631641536</v>
      </c>
      <c r="E18" s="24">
        <f t="shared" si="4"/>
        <v>8.3799976201808661</v>
      </c>
      <c r="F18" s="24">
        <v>8.3800000000000008</v>
      </c>
      <c r="G18" s="24">
        <v>8.3800000000000008</v>
      </c>
      <c r="H18" s="24">
        <f t="shared" si="4"/>
        <v>7.3249477030074166</v>
      </c>
      <c r="I18" s="24" t="e">
        <f>I17/I19</f>
        <v>#DIV/0!</v>
      </c>
      <c r="J18" s="24" t="e">
        <f>J17/J19</f>
        <v>#DIV/0!</v>
      </c>
      <c r="K18" s="24" t="e">
        <f>K17/K19</f>
        <v>#DIV/0!</v>
      </c>
      <c r="L18" s="24"/>
      <c r="M18" s="24"/>
      <c r="N18" s="62">
        <f>N17/N19</f>
        <v>8.6225992163649927</v>
      </c>
    </row>
    <row r="19" spans="1:14" s="26" customFormat="1">
      <c r="A19" s="22" t="s">
        <v>39</v>
      </c>
      <c r="B19" s="24">
        <v>1749.82</v>
      </c>
      <c r="C19" s="24">
        <v>1029.33</v>
      </c>
      <c r="D19" s="24">
        <v>1362.26</v>
      </c>
      <c r="E19" s="24">
        <v>1176.56</v>
      </c>
      <c r="F19" s="24">
        <v>1880.47</v>
      </c>
      <c r="G19" s="24">
        <v>753.67</v>
      </c>
      <c r="H19" s="24">
        <v>368.09</v>
      </c>
      <c r="I19" s="24"/>
      <c r="J19" s="24"/>
      <c r="K19" s="24"/>
      <c r="L19" s="24"/>
      <c r="M19" s="24"/>
      <c r="N19" s="62">
        <f>SUM(B19:M19)</f>
        <v>8320.1999999999989</v>
      </c>
    </row>
    <row r="20" spans="1:14" s="26" customFormat="1">
      <c r="A20" s="57" t="s">
        <v>45</v>
      </c>
      <c r="B20" s="24">
        <v>1094.3399999999999</v>
      </c>
      <c r="C20" s="24">
        <v>1742.8</v>
      </c>
      <c r="D20" s="24">
        <f>2430.57-506.48</f>
        <v>1924.0900000000001</v>
      </c>
      <c r="E20" s="24">
        <v>2612.0700000000002</v>
      </c>
      <c r="F20" s="24">
        <v>1600.35</v>
      </c>
      <c r="G20" s="24">
        <v>1491.85</v>
      </c>
      <c r="H20" s="24">
        <v>646.70000000000005</v>
      </c>
      <c r="I20" s="24"/>
      <c r="J20" s="24"/>
      <c r="K20" s="24"/>
      <c r="L20" s="24"/>
      <c r="M20" s="24"/>
      <c r="N20" s="62">
        <f>SUM(B20:M20)</f>
        <v>11112.2</v>
      </c>
    </row>
    <row r="21" spans="1:14" s="26" customFormat="1">
      <c r="A21" s="23" t="s">
        <v>36</v>
      </c>
      <c r="B21" s="24">
        <v>2.23</v>
      </c>
      <c r="C21" s="24">
        <v>2.23</v>
      </c>
      <c r="D21" s="24">
        <v>2.23</v>
      </c>
      <c r="E21" s="24">
        <v>2.23</v>
      </c>
      <c r="F21" s="24">
        <v>2.23</v>
      </c>
      <c r="G21" s="24">
        <v>2.23</v>
      </c>
      <c r="H21" s="24">
        <v>2.23</v>
      </c>
      <c r="I21" s="24" t="e">
        <f>I20/I19</f>
        <v>#DIV/0!</v>
      </c>
      <c r="J21" s="24" t="e">
        <f>J20/J19</f>
        <v>#DIV/0!</v>
      </c>
      <c r="K21" s="24" t="e">
        <f>K20/K19</f>
        <v>#DIV/0!</v>
      </c>
      <c r="L21" s="24"/>
      <c r="M21" s="24"/>
      <c r="N21" s="62">
        <v>2.23</v>
      </c>
    </row>
    <row r="22" spans="1:14" s="26" customFormat="1">
      <c r="A22" s="57" t="s">
        <v>50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62">
        <f>SUM(B22:M22)</f>
        <v>0</v>
      </c>
    </row>
    <row r="23" spans="1:14" ht="16.5" thickBot="1">
      <c r="A23" s="147">
        <v>2274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</row>
    <row r="24" spans="1:14" ht="16.5" thickBot="1">
      <c r="A24" s="66" t="s">
        <v>48</v>
      </c>
      <c r="B24" s="67">
        <f>B25+B27</f>
        <v>0</v>
      </c>
      <c r="C24" s="103">
        <f t="shared" ref="C24:M24" si="5">C25+C27</f>
        <v>1121.4000000000001</v>
      </c>
      <c r="D24" s="103">
        <f t="shared" si="5"/>
        <v>27364.13</v>
      </c>
      <c r="E24" s="103">
        <f t="shared" si="5"/>
        <v>19325.580000000002</v>
      </c>
      <c r="F24" s="103">
        <f t="shared" si="5"/>
        <v>8233.39</v>
      </c>
      <c r="G24" s="103">
        <f t="shared" si="5"/>
        <v>550.69000000000005</v>
      </c>
      <c r="H24" s="103">
        <f t="shared" si="5"/>
        <v>430.9</v>
      </c>
      <c r="I24" s="103">
        <f t="shared" si="5"/>
        <v>0</v>
      </c>
      <c r="J24" s="103">
        <f t="shared" si="5"/>
        <v>0</v>
      </c>
      <c r="K24" s="103">
        <f t="shared" si="5"/>
        <v>0</v>
      </c>
      <c r="L24" s="103">
        <f t="shared" si="5"/>
        <v>0</v>
      </c>
      <c r="M24" s="103">
        <f t="shared" si="5"/>
        <v>0</v>
      </c>
      <c r="N24" s="65">
        <f>SUM(B24:M24)</f>
        <v>57026.090000000004</v>
      </c>
    </row>
    <row r="25" spans="1:14">
      <c r="A25" s="59" t="s">
        <v>51</v>
      </c>
      <c r="B25" s="61"/>
      <c r="C25" s="61">
        <v>1121.4000000000001</v>
      </c>
      <c r="D25" s="61">
        <v>430.9</v>
      </c>
      <c r="E25" s="61">
        <v>550.67999999999995</v>
      </c>
      <c r="F25" s="61">
        <v>550.67999999999995</v>
      </c>
      <c r="G25" s="61">
        <v>550.69000000000005</v>
      </c>
      <c r="H25" s="61">
        <v>430.9</v>
      </c>
      <c r="I25" s="61"/>
      <c r="J25" s="61"/>
      <c r="K25" s="61"/>
      <c r="L25" s="61"/>
      <c r="M25" s="61"/>
      <c r="N25" s="62">
        <f>SUM(B25:M25)</f>
        <v>3635.25</v>
      </c>
    </row>
    <row r="26" spans="1:14">
      <c r="A26" s="23" t="s">
        <v>36</v>
      </c>
      <c r="B26" s="61" t="e">
        <f>B25/B29</f>
        <v>#DIV/0!</v>
      </c>
      <c r="C26" s="61">
        <v>2.04</v>
      </c>
      <c r="D26" s="61">
        <v>2.04</v>
      </c>
      <c r="E26" s="61">
        <v>2.04</v>
      </c>
      <c r="F26" s="61">
        <v>2.04</v>
      </c>
      <c r="G26" s="61">
        <v>2.04</v>
      </c>
      <c r="H26" s="61">
        <v>2.04</v>
      </c>
      <c r="I26" s="61" t="e">
        <f t="shared" ref="I26:M26" si="6">I25/I29</f>
        <v>#DIV/0!</v>
      </c>
      <c r="J26" s="61" t="e">
        <f t="shared" si="6"/>
        <v>#DIV/0!</v>
      </c>
      <c r="K26" s="61" t="e">
        <f t="shared" si="6"/>
        <v>#DIV/0!</v>
      </c>
      <c r="L26" s="61" t="e">
        <f t="shared" si="6"/>
        <v>#DIV/0!</v>
      </c>
      <c r="M26" s="61" t="e">
        <f t="shared" si="6"/>
        <v>#DIV/0!</v>
      </c>
      <c r="N26" s="62">
        <v>2.04</v>
      </c>
    </row>
    <row r="27" spans="1:14">
      <c r="A27" s="57" t="s">
        <v>52</v>
      </c>
      <c r="B27" s="21"/>
      <c r="C27" s="21"/>
      <c r="D27" s="21">
        <v>26933.23</v>
      </c>
      <c r="E27" s="21">
        <v>18774.900000000001</v>
      </c>
      <c r="F27" s="21">
        <v>7682.71</v>
      </c>
      <c r="G27" s="21"/>
      <c r="H27" s="21"/>
      <c r="I27" s="21"/>
      <c r="J27" s="21"/>
      <c r="K27" s="21"/>
      <c r="L27" s="21"/>
      <c r="M27" s="21"/>
      <c r="N27" s="22">
        <f>SUM(B27:M27)</f>
        <v>53390.840000000004</v>
      </c>
    </row>
    <row r="28" spans="1:14">
      <c r="A28" s="23" t="s">
        <v>36</v>
      </c>
      <c r="B28" s="24" t="e">
        <f t="shared" ref="B28:F28" si="7">B27/B29</f>
        <v>#DIV/0!</v>
      </c>
      <c r="C28" s="24" t="e">
        <f t="shared" si="7"/>
        <v>#DIV/0!</v>
      </c>
      <c r="D28" s="24">
        <f t="shared" si="7"/>
        <v>16992.35971785845</v>
      </c>
      <c r="E28" s="24">
        <f t="shared" si="7"/>
        <v>16992.366743837916</v>
      </c>
      <c r="F28" s="24">
        <f t="shared" si="7"/>
        <v>17052.604710008214</v>
      </c>
      <c r="G28" s="24"/>
      <c r="H28" s="21"/>
      <c r="I28" s="21"/>
      <c r="J28" s="21"/>
      <c r="K28" s="21"/>
      <c r="L28" s="21"/>
      <c r="M28" s="21"/>
      <c r="N28" s="25">
        <v>16.55</v>
      </c>
    </row>
    <row r="29" spans="1:14">
      <c r="A29" s="57" t="s">
        <v>38</v>
      </c>
      <c r="B29" s="21"/>
      <c r="C29" s="21">
        <v>0</v>
      </c>
      <c r="D29" s="21">
        <v>1.5850200000000001</v>
      </c>
      <c r="E29" s="41">
        <v>1.1049020000000001</v>
      </c>
      <c r="F29" s="41">
        <v>0.45052999999999999</v>
      </c>
      <c r="G29" s="21"/>
      <c r="H29" s="21"/>
      <c r="I29" s="21"/>
      <c r="J29" s="21"/>
      <c r="K29" s="21"/>
      <c r="L29" s="21"/>
      <c r="M29" s="21"/>
      <c r="N29" s="22">
        <f>SUM(B29:M29)</f>
        <v>3.1404520000000002</v>
      </c>
    </row>
    <row r="30" spans="1:14" ht="16.5" thickBot="1">
      <c r="A30" s="147">
        <v>2275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</row>
    <row r="31" spans="1:14" ht="16.5" thickBot="1">
      <c r="A31" s="63" t="s">
        <v>48</v>
      </c>
      <c r="B31" s="68">
        <f t="shared" ref="B31:M31" si="8">B32+B35</f>
        <v>0</v>
      </c>
      <c r="C31" s="68">
        <f t="shared" si="8"/>
        <v>0</v>
      </c>
      <c r="D31" s="68">
        <f t="shared" si="8"/>
        <v>500.03999999999996</v>
      </c>
      <c r="E31" s="68">
        <f t="shared" si="8"/>
        <v>0</v>
      </c>
      <c r="F31" s="68">
        <f t="shared" si="8"/>
        <v>333.34</v>
      </c>
      <c r="G31" s="68">
        <f t="shared" si="8"/>
        <v>166.67</v>
      </c>
      <c r="H31" s="68">
        <f t="shared" si="8"/>
        <v>289.95</v>
      </c>
      <c r="I31" s="68">
        <f t="shared" si="8"/>
        <v>0</v>
      </c>
      <c r="J31" s="68">
        <f>J32+J35</f>
        <v>0</v>
      </c>
      <c r="K31" s="68">
        <f t="shared" si="8"/>
        <v>0</v>
      </c>
      <c r="L31" s="68">
        <f t="shared" si="8"/>
        <v>0</v>
      </c>
      <c r="M31" s="68">
        <f t="shared" si="8"/>
        <v>0</v>
      </c>
      <c r="N31" s="65">
        <f>SUM(B31:M31)</f>
        <v>1289.9999999999998</v>
      </c>
    </row>
    <row r="32" spans="1:14">
      <c r="A32" s="59" t="s">
        <v>46</v>
      </c>
      <c r="B32" s="60"/>
      <c r="C32" s="61"/>
      <c r="D32" s="61">
        <f>166.67+333.37</f>
        <v>500.03999999999996</v>
      </c>
      <c r="E32" s="61"/>
      <c r="F32" s="61">
        <v>333.34</v>
      </c>
      <c r="G32" s="61">
        <v>166.67</v>
      </c>
      <c r="H32" s="61">
        <v>289.95</v>
      </c>
      <c r="I32" s="61"/>
      <c r="J32" s="61"/>
      <c r="K32" s="61"/>
      <c r="L32" s="61"/>
      <c r="M32" s="61"/>
      <c r="N32" s="62">
        <f>SUM(B32:M32)</f>
        <v>1289.9999999999998</v>
      </c>
    </row>
    <row r="33" spans="1:14">
      <c r="A33" s="23" t="s">
        <v>36</v>
      </c>
      <c r="B33" s="29"/>
      <c r="C33" s="21"/>
      <c r="D33" s="21">
        <v>191.9</v>
      </c>
      <c r="E33" s="21"/>
      <c r="F33" s="21">
        <v>191.9</v>
      </c>
      <c r="G33" s="21">
        <v>191.9</v>
      </c>
      <c r="H33" s="21">
        <v>191.9</v>
      </c>
      <c r="I33" s="21"/>
      <c r="J33" s="21"/>
      <c r="K33" s="21"/>
      <c r="L33" s="21"/>
      <c r="M33" s="21"/>
      <c r="N33" s="25">
        <v>191.9</v>
      </c>
    </row>
    <row r="34" spans="1:14">
      <c r="A34" s="57" t="s">
        <v>38</v>
      </c>
      <c r="B34" s="21"/>
      <c r="C34" s="21">
        <v>0</v>
      </c>
      <c r="D34" s="21">
        <f>D32/D33</f>
        <v>2.6057321521625845</v>
      </c>
      <c r="E34" s="21">
        <v>0</v>
      </c>
      <c r="F34" s="21">
        <f>F32/F33</f>
        <v>1.7370505471599789</v>
      </c>
      <c r="G34" s="21">
        <f>G32/G33</f>
        <v>0.86852527357998943</v>
      </c>
      <c r="H34" s="21">
        <f>H32/H33</f>
        <v>1.5109431995831162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2">
        <f>SUM(B34:M34)</f>
        <v>6.7222511724856693</v>
      </c>
    </row>
    <row r="35" spans="1:14">
      <c r="A35" s="57" t="s">
        <v>47</v>
      </c>
      <c r="B35" s="29"/>
      <c r="C35" s="27"/>
      <c r="D35" s="21"/>
      <c r="E35" s="21"/>
      <c r="F35" s="21"/>
      <c r="G35" s="32"/>
      <c r="H35" s="32"/>
      <c r="I35" s="28"/>
      <c r="J35" s="28"/>
      <c r="K35" s="21"/>
      <c r="L35" s="21"/>
      <c r="M35" s="21"/>
      <c r="N35" s="46">
        <f>SUM(B35:M35)</f>
        <v>0</v>
      </c>
    </row>
    <row r="36" spans="1:14">
      <c r="A36" s="23" t="s">
        <v>36</v>
      </c>
      <c r="B36" s="29"/>
      <c r="C36" s="27"/>
      <c r="D36" s="21"/>
      <c r="E36" s="21"/>
      <c r="F36" s="21"/>
      <c r="G36" s="32"/>
      <c r="H36" s="32"/>
      <c r="I36" s="28"/>
      <c r="J36" s="28"/>
      <c r="K36" s="21"/>
      <c r="L36" s="21"/>
      <c r="M36" s="21"/>
      <c r="N36" s="72">
        <f>SUM(B36:M36)/1</f>
        <v>0</v>
      </c>
    </row>
    <row r="37" spans="1:14" ht="16.5" thickBot="1">
      <c r="A37" s="98" t="s">
        <v>38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0">
        <f>SUM(B37:M37)</f>
        <v>0</v>
      </c>
    </row>
    <row r="38" spans="1:14" ht="16.5" thickBot="1">
      <c r="A38" s="101" t="s">
        <v>40</v>
      </c>
      <c r="B38" s="102">
        <f t="shared" ref="B38:N38" si="9">B31+B24+B16+B9+B5</f>
        <v>16300.34</v>
      </c>
      <c r="C38" s="102">
        <f t="shared" si="9"/>
        <v>38036.57</v>
      </c>
      <c r="D38" s="102">
        <f t="shared" si="9"/>
        <v>85947.209999999992</v>
      </c>
      <c r="E38" s="102">
        <f t="shared" si="9"/>
        <v>73282.63</v>
      </c>
      <c r="F38" s="102">
        <f t="shared" si="9"/>
        <v>42468.7</v>
      </c>
      <c r="G38" s="102">
        <f t="shared" si="9"/>
        <v>9450.9</v>
      </c>
      <c r="H38" s="102">
        <f t="shared" si="9"/>
        <v>6015.41</v>
      </c>
      <c r="I38" s="102">
        <f t="shared" si="9"/>
        <v>0</v>
      </c>
      <c r="J38" s="102">
        <f t="shared" si="9"/>
        <v>0</v>
      </c>
      <c r="K38" s="102">
        <f t="shared" si="9"/>
        <v>0</v>
      </c>
      <c r="L38" s="102">
        <f t="shared" si="9"/>
        <v>0</v>
      </c>
      <c r="M38" s="102">
        <f t="shared" si="9"/>
        <v>0</v>
      </c>
      <c r="N38" s="102">
        <f t="shared" si="9"/>
        <v>271501.76</v>
      </c>
    </row>
    <row r="40" spans="1:14" ht="18.75">
      <c r="B40" s="146"/>
      <c r="C40" s="146"/>
      <c r="D40" s="146"/>
      <c r="E40" s="146"/>
      <c r="F40" s="146"/>
      <c r="G40" s="146"/>
      <c r="H40" s="33"/>
      <c r="I40" s="33"/>
      <c r="J40" s="146"/>
      <c r="K40" s="146"/>
      <c r="L40" s="146"/>
      <c r="M40" s="146"/>
    </row>
  </sheetData>
  <mergeCells count="9">
    <mergeCell ref="A30:N30"/>
    <mergeCell ref="B40:G40"/>
    <mergeCell ref="J40:M40"/>
    <mergeCell ref="A1:N1"/>
    <mergeCell ref="E2:J2"/>
    <mergeCell ref="A4:N4"/>
    <mergeCell ref="A8:N8"/>
    <mergeCell ref="A15:N15"/>
    <mergeCell ref="A23:N23"/>
  </mergeCells>
  <pageMargins left="0.19685039370078741" right="0.19685039370078741" top="0.39370078740157483" bottom="0.39370078740157483" header="0" footer="0"/>
  <pageSetup paperSize="9" scale="80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0"/>
  <sheetViews>
    <sheetView zoomScale="80" zoomScaleNormal="80" zoomScaleSheetLayoutView="80" workbookViewId="0">
      <selection sqref="A1:N1"/>
    </sheetView>
  </sheetViews>
  <sheetFormatPr defaultRowHeight="15.75"/>
  <cols>
    <col min="1" max="1" width="24.42578125" style="17" customWidth="1"/>
    <col min="2" max="2" width="12.28515625" style="17" customWidth="1"/>
    <col min="3" max="3" width="13.140625" style="17" bestFit="1" customWidth="1"/>
    <col min="4" max="5" width="11.7109375" style="17" bestFit="1" customWidth="1"/>
    <col min="6" max="6" width="11.28515625" style="17" bestFit="1" customWidth="1"/>
    <col min="7" max="7" width="11.140625" style="17" customWidth="1"/>
    <col min="8" max="8" width="11.42578125" style="17" customWidth="1"/>
    <col min="9" max="9" width="12.28515625" style="17" customWidth="1"/>
    <col min="10" max="10" width="12.42578125" style="17" customWidth="1"/>
    <col min="11" max="12" width="11.28515625" style="17" bestFit="1" customWidth="1"/>
    <col min="13" max="13" width="11.28515625" style="17" customWidth="1"/>
    <col min="14" max="14" width="14.7109375" style="17" customWidth="1"/>
    <col min="15" max="15" width="11.28515625" style="17" bestFit="1" customWidth="1"/>
    <col min="16" max="16384" width="9.140625" style="17"/>
  </cols>
  <sheetData>
    <row r="1" spans="1:14" ht="23.25" customHeight="1">
      <c r="A1" s="150" t="s">
        <v>80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9.5" customHeight="1">
      <c r="A2" s="91" t="s">
        <v>69</v>
      </c>
      <c r="B2" s="31"/>
      <c r="C2" s="31"/>
      <c r="D2" s="31"/>
      <c r="E2" s="151" t="s">
        <v>42</v>
      </c>
      <c r="F2" s="151"/>
      <c r="G2" s="151"/>
      <c r="H2" s="151"/>
      <c r="I2" s="151"/>
      <c r="J2" s="151"/>
      <c r="K2" s="31"/>
      <c r="L2" s="31"/>
      <c r="M2" s="31"/>
      <c r="N2" s="31"/>
    </row>
    <row r="3" spans="1:14" s="20" customFormat="1">
      <c r="A3" s="18"/>
      <c r="B3" s="58" t="s">
        <v>19</v>
      </c>
      <c r="C3" s="58" t="s">
        <v>20</v>
      </c>
      <c r="D3" s="58" t="s">
        <v>21</v>
      </c>
      <c r="E3" s="58" t="s">
        <v>22</v>
      </c>
      <c r="F3" s="58" t="s">
        <v>23</v>
      </c>
      <c r="G3" s="58" t="s">
        <v>24</v>
      </c>
      <c r="H3" s="58" t="s">
        <v>25</v>
      </c>
      <c r="I3" s="58" t="s">
        <v>26</v>
      </c>
      <c r="J3" s="58" t="s">
        <v>27</v>
      </c>
      <c r="K3" s="58" t="s">
        <v>28</v>
      </c>
      <c r="L3" s="58" t="s">
        <v>29</v>
      </c>
      <c r="M3" s="58" t="s">
        <v>30</v>
      </c>
      <c r="N3" s="19" t="s">
        <v>35</v>
      </c>
    </row>
    <row r="4" spans="1:14" ht="16.5" thickBot="1">
      <c r="A4" s="147">
        <v>2271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9"/>
    </row>
    <row r="5" spans="1:14" ht="16.5" thickBot="1">
      <c r="A5" s="63" t="s">
        <v>48</v>
      </c>
      <c r="B5" s="68"/>
      <c r="C5" s="68">
        <v>46134.720000000001</v>
      </c>
      <c r="D5" s="68">
        <v>48398.84</v>
      </c>
      <c r="E5" s="68">
        <v>33020.120000000003</v>
      </c>
      <c r="F5" s="68">
        <v>8816.32</v>
      </c>
      <c r="G5" s="68"/>
      <c r="H5" s="68"/>
      <c r="I5" s="68"/>
      <c r="J5" s="68"/>
      <c r="K5" s="68"/>
      <c r="L5" s="68"/>
      <c r="M5" s="68"/>
      <c r="N5" s="65">
        <f>SUM(B5:M5)</f>
        <v>136370</v>
      </c>
    </row>
    <row r="6" spans="1:14" s="26" customFormat="1">
      <c r="A6" s="69" t="s">
        <v>36</v>
      </c>
      <c r="B6" s="70"/>
      <c r="C6" s="70">
        <f>C5/C7</f>
        <v>3834.9725685785538</v>
      </c>
      <c r="D6" s="70">
        <f>D5/D7</f>
        <v>3835.0903328050713</v>
      </c>
      <c r="E6" s="70">
        <v>3835.09</v>
      </c>
      <c r="F6" s="70">
        <v>3835.09</v>
      </c>
      <c r="G6" s="70"/>
      <c r="H6" s="70"/>
      <c r="I6" s="70"/>
      <c r="J6" s="70"/>
      <c r="K6" s="70"/>
      <c r="L6" s="70"/>
      <c r="M6" s="70"/>
      <c r="N6" s="71">
        <f>N5/N7</f>
        <v>3834.9268841394833</v>
      </c>
    </row>
    <row r="7" spans="1:14">
      <c r="A7" s="57" t="s">
        <v>37</v>
      </c>
      <c r="B7" s="41"/>
      <c r="C7" s="107">
        <v>12.03</v>
      </c>
      <c r="D7" s="28">
        <v>12.62</v>
      </c>
      <c r="E7" s="28">
        <v>8.61</v>
      </c>
      <c r="F7" s="27">
        <v>2.2999999999999998</v>
      </c>
      <c r="G7" s="27"/>
      <c r="H7" s="27"/>
      <c r="I7" s="27"/>
      <c r="J7" s="27"/>
      <c r="K7" s="27"/>
      <c r="L7" s="28"/>
      <c r="M7" s="28"/>
      <c r="N7" s="104">
        <f>SUM(B7:M7)</f>
        <v>35.559999999999995</v>
      </c>
    </row>
    <row r="8" spans="1:14" ht="16.5" thickBot="1">
      <c r="A8" s="147">
        <v>2272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/>
    </row>
    <row r="9" spans="1:14" ht="16.5" thickBot="1">
      <c r="A9" s="63" t="s">
        <v>48</v>
      </c>
      <c r="B9" s="68">
        <f>B10+B12</f>
        <v>0</v>
      </c>
      <c r="C9" s="68">
        <f t="shared" ref="C9:M9" si="0">C10+C12</f>
        <v>1091.58</v>
      </c>
      <c r="D9" s="68">
        <v>900</v>
      </c>
      <c r="E9" s="68">
        <f t="shared" si="0"/>
        <v>698.49</v>
      </c>
      <c r="F9" s="68">
        <f t="shared" si="0"/>
        <v>626.55999999999995</v>
      </c>
      <c r="G9" s="68">
        <f t="shared" si="0"/>
        <v>540.47</v>
      </c>
      <c r="H9" s="68">
        <f t="shared" si="0"/>
        <v>556.43000000000006</v>
      </c>
      <c r="I9" s="68">
        <f t="shared" si="0"/>
        <v>0</v>
      </c>
      <c r="J9" s="68">
        <f t="shared" si="0"/>
        <v>0</v>
      </c>
      <c r="K9" s="68">
        <f t="shared" si="0"/>
        <v>0</v>
      </c>
      <c r="L9" s="68">
        <f t="shared" si="0"/>
        <v>0</v>
      </c>
      <c r="M9" s="68">
        <f t="shared" si="0"/>
        <v>0</v>
      </c>
      <c r="N9" s="65">
        <f>SUM(B9:M9)</f>
        <v>4413.53</v>
      </c>
    </row>
    <row r="10" spans="1:14">
      <c r="A10" s="59" t="s">
        <v>12</v>
      </c>
      <c r="B10" s="61"/>
      <c r="C10" s="61">
        <v>495.32</v>
      </c>
      <c r="D10" s="61">
        <v>400</v>
      </c>
      <c r="E10" s="61">
        <v>315.89999999999998</v>
      </c>
      <c r="F10" s="61">
        <v>283.76</v>
      </c>
      <c r="G10" s="61">
        <v>244.23</v>
      </c>
      <c r="H10" s="61">
        <v>252.56</v>
      </c>
      <c r="I10" s="61"/>
      <c r="J10" s="61"/>
      <c r="K10" s="61"/>
      <c r="L10" s="61"/>
      <c r="M10" s="61"/>
      <c r="N10" s="62">
        <f>SUM(B10:M10)</f>
        <v>1991.7699999999998</v>
      </c>
    </row>
    <row r="11" spans="1:14">
      <c r="A11" s="23" t="s">
        <v>36</v>
      </c>
      <c r="B11" s="24"/>
      <c r="C11" s="24">
        <f>SUM(C10/C14)</f>
        <v>35.380000000000003</v>
      </c>
      <c r="D11" s="24">
        <f t="shared" ref="D11:L11" si="1">D10/D14</f>
        <v>36.363636363636367</v>
      </c>
      <c r="E11" s="24">
        <f t="shared" si="1"/>
        <v>35.099999999999994</v>
      </c>
      <c r="F11" s="24">
        <f t="shared" si="1"/>
        <v>44.000620251201738</v>
      </c>
      <c r="G11" s="24">
        <f t="shared" si="1"/>
        <v>42.847368421052629</v>
      </c>
      <c r="H11" s="24">
        <f t="shared" si="1"/>
        <v>46.366807416926747</v>
      </c>
      <c r="I11" s="24" t="e">
        <f t="shared" si="1"/>
        <v>#DIV/0!</v>
      </c>
      <c r="J11" s="24" t="e">
        <f t="shared" si="1"/>
        <v>#DIV/0!</v>
      </c>
      <c r="K11" s="24" t="e">
        <f t="shared" si="1"/>
        <v>#DIV/0!</v>
      </c>
      <c r="L11" s="24" t="e">
        <f t="shared" si="1"/>
        <v>#DIV/0!</v>
      </c>
      <c r="M11" s="24"/>
      <c r="N11" s="25">
        <f>N10/N14</f>
        <v>38.603186293511115</v>
      </c>
    </row>
    <row r="12" spans="1:14">
      <c r="A12" s="57" t="s">
        <v>13</v>
      </c>
      <c r="B12" s="21"/>
      <c r="C12" s="21">
        <v>596.26</v>
      </c>
      <c r="D12" s="21">
        <v>500</v>
      </c>
      <c r="E12" s="21">
        <v>382.59</v>
      </c>
      <c r="F12" s="21">
        <v>342.8</v>
      </c>
      <c r="G12" s="21">
        <v>296.24</v>
      </c>
      <c r="H12" s="21">
        <v>303.87</v>
      </c>
      <c r="I12" s="21"/>
      <c r="J12" s="21"/>
      <c r="K12" s="21"/>
      <c r="L12" s="21"/>
      <c r="M12" s="21"/>
      <c r="N12" s="22">
        <f>B12+C12+D12+E12+F12+G12+H12+I12+J12+K12+L12+M12</f>
        <v>2421.7599999999998</v>
      </c>
    </row>
    <row r="13" spans="1:14" s="26" customFormat="1">
      <c r="A13" s="23" t="s">
        <v>36</v>
      </c>
      <c r="B13" s="24"/>
      <c r="C13" s="24">
        <f>SUM(C12/C14)</f>
        <v>42.589999999999996</v>
      </c>
      <c r="D13" s="24">
        <f t="shared" ref="D13:G13" si="2">D12/D14</f>
        <v>45.454545454545453</v>
      </c>
      <c r="E13" s="24">
        <f t="shared" si="2"/>
        <v>42.51</v>
      </c>
      <c r="F13" s="24">
        <f t="shared" si="2"/>
        <v>53.15552798883548</v>
      </c>
      <c r="G13" s="24">
        <f t="shared" si="2"/>
        <v>51.971929824561407</v>
      </c>
      <c r="H13" s="24">
        <f>H12/H14</f>
        <v>55.786671562327889</v>
      </c>
      <c r="I13" s="24" t="e">
        <f>I12/I14</f>
        <v>#DIV/0!</v>
      </c>
      <c r="J13" s="24" t="e">
        <f>J12/J14</f>
        <v>#DIV/0!</v>
      </c>
      <c r="K13" s="24" t="e">
        <f>K12/K14</f>
        <v>#DIV/0!</v>
      </c>
      <c r="L13" s="24" t="e">
        <f>L12/L14</f>
        <v>#DIV/0!</v>
      </c>
      <c r="M13" s="24"/>
      <c r="N13" s="25">
        <f>N12/N14</f>
        <v>46.936971858283577</v>
      </c>
    </row>
    <row r="14" spans="1:14">
      <c r="A14" s="57" t="s">
        <v>38</v>
      </c>
      <c r="B14" s="32"/>
      <c r="C14" s="21">
        <v>14</v>
      </c>
      <c r="D14" s="32">
        <v>11</v>
      </c>
      <c r="E14" s="32">
        <v>9</v>
      </c>
      <c r="F14" s="32">
        <v>6.4489999999999998</v>
      </c>
      <c r="G14" s="32">
        <v>5.7</v>
      </c>
      <c r="H14" s="32">
        <v>5.4470000000000001</v>
      </c>
      <c r="I14" s="32"/>
      <c r="J14" s="32"/>
      <c r="K14" s="32"/>
      <c r="L14" s="32"/>
      <c r="M14" s="32"/>
      <c r="N14" s="22">
        <f>SUM(B14:M14)</f>
        <v>51.596000000000004</v>
      </c>
    </row>
    <row r="15" spans="1:14" ht="16.5" thickBot="1">
      <c r="A15" s="147">
        <v>2273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9"/>
    </row>
    <row r="16" spans="1:14" ht="16.5" thickBot="1">
      <c r="A16" s="66" t="s">
        <v>48</v>
      </c>
      <c r="B16" s="67">
        <f>B17+B20+B22</f>
        <v>20999.98</v>
      </c>
      <c r="C16" s="67">
        <f t="shared" ref="C16:M16" si="3">C17+C20+C22</f>
        <v>5273.21</v>
      </c>
      <c r="D16" s="67">
        <v>11681.71</v>
      </c>
      <c r="E16" s="67">
        <f t="shared" si="3"/>
        <v>6015.46</v>
      </c>
      <c r="F16" s="67">
        <f t="shared" si="3"/>
        <v>2056.71</v>
      </c>
      <c r="G16" s="67">
        <f t="shared" si="3"/>
        <v>6469.54</v>
      </c>
      <c r="H16" s="67">
        <f t="shared" si="3"/>
        <v>4428.75</v>
      </c>
      <c r="I16" s="67">
        <f t="shared" si="3"/>
        <v>0</v>
      </c>
      <c r="J16" s="67">
        <f t="shared" si="3"/>
        <v>0</v>
      </c>
      <c r="K16" s="67">
        <f t="shared" si="3"/>
        <v>0</v>
      </c>
      <c r="L16" s="67">
        <f t="shared" si="3"/>
        <v>0</v>
      </c>
      <c r="M16" s="67">
        <f t="shared" si="3"/>
        <v>0</v>
      </c>
      <c r="N16" s="65">
        <f>SUM(B16:M16)</f>
        <v>56925.359999999993</v>
      </c>
    </row>
    <row r="17" spans="1:14">
      <c r="A17" s="59" t="s">
        <v>49</v>
      </c>
      <c r="B17" s="61">
        <v>20164</v>
      </c>
      <c r="C17" s="61">
        <v>5273.21</v>
      </c>
      <c r="D17" s="61">
        <v>9447.27</v>
      </c>
      <c r="E17" s="61">
        <v>4753.43</v>
      </c>
      <c r="F17" s="61">
        <v>972.75</v>
      </c>
      <c r="G17" s="61">
        <v>5098.67</v>
      </c>
      <c r="H17" s="61">
        <v>3394.03</v>
      </c>
      <c r="I17" s="61"/>
      <c r="J17" s="61"/>
      <c r="K17" s="61"/>
      <c r="L17" s="61"/>
      <c r="M17" s="61"/>
      <c r="N17" s="62">
        <f>SUM(B17:M17)</f>
        <v>49103.359999999993</v>
      </c>
    </row>
    <row r="18" spans="1:14" s="26" customFormat="1">
      <c r="A18" s="23" t="s">
        <v>36</v>
      </c>
      <c r="B18" s="24">
        <f t="shared" ref="B18:K18" si="4">B17/B19</f>
        <v>8.6900308572807656</v>
      </c>
      <c r="C18" s="24">
        <f t="shared" si="4"/>
        <v>8.3800177986841682</v>
      </c>
      <c r="D18" s="24">
        <v>8.3800000000000008</v>
      </c>
      <c r="E18" s="24">
        <f t="shared" si="4"/>
        <v>8.3799273676045409</v>
      </c>
      <c r="F18" s="24">
        <f t="shared" si="4"/>
        <v>8.3807185319203938</v>
      </c>
      <c r="G18" s="24">
        <v>8.3800000000000008</v>
      </c>
      <c r="H18" s="24">
        <f t="shared" si="4"/>
        <v>6.7099561108694799</v>
      </c>
      <c r="I18" s="24" t="e">
        <f t="shared" si="4"/>
        <v>#DIV/0!</v>
      </c>
      <c r="J18" s="24" t="e">
        <f t="shared" si="4"/>
        <v>#DIV/0!</v>
      </c>
      <c r="K18" s="24" t="e">
        <f t="shared" si="4"/>
        <v>#DIV/0!</v>
      </c>
      <c r="L18" s="24"/>
      <c r="M18" s="24"/>
      <c r="N18" s="62">
        <f>N17/N19</f>
        <v>8.3259151647990972</v>
      </c>
    </row>
    <row r="19" spans="1:14" s="26" customFormat="1">
      <c r="A19" s="22" t="s">
        <v>39</v>
      </c>
      <c r="B19" s="24">
        <v>2320.36</v>
      </c>
      <c r="C19" s="24">
        <v>629.26</v>
      </c>
      <c r="D19" s="24">
        <v>1150.47</v>
      </c>
      <c r="E19" s="24">
        <v>567.24</v>
      </c>
      <c r="F19" s="24">
        <v>116.07</v>
      </c>
      <c r="G19" s="24">
        <f>G17/G18</f>
        <v>608.43317422434359</v>
      </c>
      <c r="H19" s="24">
        <v>505.82</v>
      </c>
      <c r="I19" s="24"/>
      <c r="J19" s="24"/>
      <c r="K19" s="24"/>
      <c r="L19" s="24"/>
      <c r="M19" s="24"/>
      <c r="N19" s="62">
        <f>SUM(B19:M19)</f>
        <v>5897.6531742243433</v>
      </c>
    </row>
    <row r="20" spans="1:14" s="26" customFormat="1">
      <c r="A20" s="57" t="s">
        <v>45</v>
      </c>
      <c r="B20" s="24">
        <v>835.98</v>
      </c>
      <c r="C20" s="24"/>
      <c r="D20" s="24">
        <v>2234.44</v>
      </c>
      <c r="E20" s="24">
        <v>1262.03</v>
      </c>
      <c r="F20" s="24">
        <v>1083.96</v>
      </c>
      <c r="G20" s="24">
        <v>1370.87</v>
      </c>
      <c r="H20" s="24">
        <v>1034.72</v>
      </c>
      <c r="I20" s="24"/>
      <c r="J20" s="24"/>
      <c r="K20" s="24"/>
      <c r="L20" s="24"/>
      <c r="M20" s="24"/>
      <c r="N20" s="62">
        <f>SUM(B20:M20)</f>
        <v>7822</v>
      </c>
    </row>
    <row r="21" spans="1:14" s="26" customFormat="1">
      <c r="A21" s="23" t="s">
        <v>36</v>
      </c>
      <c r="B21" s="24">
        <v>2.23</v>
      </c>
      <c r="C21" s="24">
        <f t="shared" ref="C21:G21" si="5">C20/C19</f>
        <v>0</v>
      </c>
      <c r="D21" s="24">
        <v>2.23</v>
      </c>
      <c r="E21" s="24">
        <v>2.23</v>
      </c>
      <c r="F21" s="24">
        <v>2.23</v>
      </c>
      <c r="G21" s="24">
        <f t="shared" si="5"/>
        <v>2.2531151457144709</v>
      </c>
      <c r="H21" s="24">
        <v>2.23</v>
      </c>
      <c r="I21" s="24" t="e">
        <f>I20/I19</f>
        <v>#DIV/0!</v>
      </c>
      <c r="J21" s="24" t="e">
        <f>J20/J19</f>
        <v>#DIV/0!</v>
      </c>
      <c r="K21" s="24" t="e">
        <f>K20/K19</f>
        <v>#DIV/0!</v>
      </c>
      <c r="L21" s="24"/>
      <c r="M21" s="24"/>
      <c r="N21" s="62">
        <v>2.23</v>
      </c>
    </row>
    <row r="22" spans="1:14" s="26" customFormat="1">
      <c r="A22" s="57" t="s">
        <v>50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62">
        <f>SUM(B22:M22)</f>
        <v>0</v>
      </c>
    </row>
    <row r="23" spans="1:14" ht="16.5" thickBot="1">
      <c r="A23" s="147">
        <v>2274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</row>
    <row r="24" spans="1:14" ht="16.5" thickBot="1">
      <c r="A24" s="66" t="s">
        <v>48</v>
      </c>
      <c r="B24" s="67">
        <f>B25+B27</f>
        <v>0</v>
      </c>
      <c r="C24" s="67">
        <f t="shared" ref="C24:M24" si="6">C25+C27</f>
        <v>3892.16</v>
      </c>
      <c r="D24" s="67">
        <f t="shared" si="6"/>
        <v>79466.13</v>
      </c>
      <c r="E24" s="67">
        <f t="shared" si="6"/>
        <v>26226.959999999999</v>
      </c>
      <c r="F24" s="67">
        <f t="shared" si="6"/>
        <v>12519.849999999999</v>
      </c>
      <c r="G24" s="67">
        <f t="shared" si="6"/>
        <v>2097.4699999999998</v>
      </c>
      <c r="H24" s="67">
        <f t="shared" si="6"/>
        <v>2097.4699999999998</v>
      </c>
      <c r="I24" s="67">
        <f>I25+I27</f>
        <v>0</v>
      </c>
      <c r="J24" s="67">
        <f>J25+J27</f>
        <v>0</v>
      </c>
      <c r="K24" s="67">
        <f t="shared" si="6"/>
        <v>0</v>
      </c>
      <c r="L24" s="67">
        <f t="shared" si="6"/>
        <v>0</v>
      </c>
      <c r="M24" s="67">
        <f t="shared" si="6"/>
        <v>0</v>
      </c>
      <c r="N24" s="65">
        <f>SUM(B24:M24)</f>
        <v>126300.04000000001</v>
      </c>
    </row>
    <row r="25" spans="1:14">
      <c r="A25" s="59" t="s">
        <v>51</v>
      </c>
      <c r="B25" s="61"/>
      <c r="C25" s="61">
        <v>3892.16</v>
      </c>
      <c r="D25" s="61">
        <v>1974.5</v>
      </c>
      <c r="E25" s="61">
        <v>2097.5300000000002</v>
      </c>
      <c r="F25" s="61">
        <v>2097.4699999999998</v>
      </c>
      <c r="G25" s="61">
        <v>2097.4699999999998</v>
      </c>
      <c r="H25" s="61">
        <v>2097.4699999999998</v>
      </c>
      <c r="I25" s="61"/>
      <c r="J25" s="61"/>
      <c r="K25" s="61"/>
      <c r="L25" s="61"/>
      <c r="M25" s="61"/>
      <c r="N25" s="62">
        <f>SUM(B25:M25)</f>
        <v>14256.599999999999</v>
      </c>
    </row>
    <row r="26" spans="1:14">
      <c r="A26" s="23" t="s">
        <v>36</v>
      </c>
      <c r="B26" s="61" t="e">
        <f>B25/B29</f>
        <v>#DIV/0!</v>
      </c>
      <c r="C26" s="61">
        <v>2.04</v>
      </c>
      <c r="D26" s="61">
        <v>2.04</v>
      </c>
      <c r="E26" s="61">
        <v>2.04</v>
      </c>
      <c r="F26" s="61">
        <v>2.04</v>
      </c>
      <c r="G26" s="61">
        <v>2.04</v>
      </c>
      <c r="H26" s="61">
        <v>2.04</v>
      </c>
      <c r="I26" s="61" t="e">
        <f t="shared" ref="I26:L26" si="7">I25/I29</f>
        <v>#DIV/0!</v>
      </c>
      <c r="J26" s="61" t="e">
        <f t="shared" si="7"/>
        <v>#DIV/0!</v>
      </c>
      <c r="K26" s="61" t="e">
        <f t="shared" si="7"/>
        <v>#DIV/0!</v>
      </c>
      <c r="L26" s="61" t="e">
        <f t="shared" si="7"/>
        <v>#DIV/0!</v>
      </c>
      <c r="M26" s="61"/>
      <c r="N26" s="62">
        <v>2.04</v>
      </c>
    </row>
    <row r="27" spans="1:14">
      <c r="A27" s="57" t="s">
        <v>52</v>
      </c>
      <c r="B27" s="21"/>
      <c r="C27" s="21"/>
      <c r="D27" s="21">
        <v>77491.63</v>
      </c>
      <c r="E27" s="21">
        <v>24129.43</v>
      </c>
      <c r="F27" s="21">
        <v>10422.379999999999</v>
      </c>
      <c r="G27" s="21"/>
      <c r="H27" s="21"/>
      <c r="I27" s="21"/>
      <c r="J27" s="21"/>
      <c r="K27" s="21"/>
      <c r="L27" s="21"/>
      <c r="M27" s="21"/>
      <c r="N27" s="22">
        <f>SUM(B27:M27)</f>
        <v>112043.44</v>
      </c>
    </row>
    <row r="28" spans="1:14">
      <c r="A28" s="23" t="s">
        <v>36</v>
      </c>
      <c r="B28" s="24">
        <v>0</v>
      </c>
      <c r="C28" s="24"/>
      <c r="D28" s="24">
        <v>17052.599999999999</v>
      </c>
      <c r="E28" s="24">
        <v>17052.599999999999</v>
      </c>
      <c r="F28" s="24">
        <f>F27/F29</f>
        <v>17052.602300430306</v>
      </c>
      <c r="G28" s="21"/>
      <c r="H28" s="21"/>
      <c r="I28" s="21"/>
      <c r="J28" s="21"/>
      <c r="K28" s="21"/>
      <c r="L28" s="21"/>
      <c r="M28" s="21"/>
      <c r="N28" s="25">
        <f>N27/N29</f>
        <v>17052.602100918353</v>
      </c>
    </row>
    <row r="29" spans="1:14">
      <c r="A29" s="57" t="s">
        <v>38</v>
      </c>
      <c r="B29" s="21"/>
      <c r="C29" s="21">
        <v>0</v>
      </c>
      <c r="D29" s="41">
        <v>4.54427</v>
      </c>
      <c r="E29" s="41">
        <v>1.415</v>
      </c>
      <c r="F29" s="41">
        <v>0.61119000000000001</v>
      </c>
      <c r="G29" s="21"/>
      <c r="H29" s="21"/>
      <c r="I29" s="21"/>
      <c r="J29" s="21"/>
      <c r="K29" s="21"/>
      <c r="L29" s="21"/>
      <c r="M29" s="29"/>
      <c r="N29" s="22">
        <f>SUM(B29:M29)</f>
        <v>6.5704599999999997</v>
      </c>
    </row>
    <row r="30" spans="1:14" ht="16.5" thickBot="1">
      <c r="A30" s="147">
        <v>2275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</row>
    <row r="31" spans="1:14" ht="16.5" thickBot="1">
      <c r="A31" s="63" t="s">
        <v>48</v>
      </c>
      <c r="B31" s="64">
        <f>B32+B35</f>
        <v>0</v>
      </c>
      <c r="C31" s="64">
        <f t="shared" ref="C31:M31" si="8">C32+C35</f>
        <v>0</v>
      </c>
      <c r="D31" s="64">
        <f t="shared" si="8"/>
        <v>0</v>
      </c>
      <c r="E31" s="64">
        <f t="shared" si="8"/>
        <v>0</v>
      </c>
      <c r="F31" s="64">
        <f t="shared" si="8"/>
        <v>0</v>
      </c>
      <c r="G31" s="68">
        <f>G32+G35</f>
        <v>278.10000000000002</v>
      </c>
      <c r="H31" s="68">
        <f t="shared" si="8"/>
        <v>471.9</v>
      </c>
      <c r="I31" s="64">
        <f t="shared" si="8"/>
        <v>0</v>
      </c>
      <c r="J31" s="64">
        <f t="shared" si="8"/>
        <v>0</v>
      </c>
      <c r="K31" s="64">
        <f t="shared" si="8"/>
        <v>0</v>
      </c>
      <c r="L31" s="64">
        <f t="shared" si="8"/>
        <v>0</v>
      </c>
      <c r="M31" s="64">
        <f t="shared" si="8"/>
        <v>0</v>
      </c>
      <c r="N31" s="65">
        <f>SUM(B31:M31)</f>
        <v>750</v>
      </c>
    </row>
    <row r="32" spans="1:14">
      <c r="A32" s="59" t="s">
        <v>46</v>
      </c>
      <c r="B32" s="60"/>
      <c r="C32" s="61"/>
      <c r="D32" s="61"/>
      <c r="E32" s="61"/>
      <c r="F32" s="61"/>
      <c r="G32" s="61">
        <v>278.10000000000002</v>
      </c>
      <c r="H32" s="61">
        <v>471.9</v>
      </c>
      <c r="I32" s="61"/>
      <c r="J32" s="61"/>
      <c r="K32" s="61"/>
      <c r="L32" s="61"/>
      <c r="M32" s="61"/>
      <c r="N32" s="62">
        <f>SUM(B32:M32)</f>
        <v>750</v>
      </c>
    </row>
    <row r="33" spans="1:14">
      <c r="A33" s="23" t="s">
        <v>36</v>
      </c>
      <c r="B33" s="29"/>
      <c r="C33" s="21"/>
      <c r="D33" s="21"/>
      <c r="E33" s="21"/>
      <c r="F33" s="21"/>
      <c r="G33" s="21">
        <v>191.9</v>
      </c>
      <c r="H33" s="21">
        <v>191.9</v>
      </c>
      <c r="I33" s="21"/>
      <c r="J33" s="21"/>
      <c r="K33" s="21"/>
      <c r="L33" s="21"/>
      <c r="M33" s="21"/>
      <c r="N33" s="25">
        <f>SUM(B33:M33)/9</f>
        <v>42.644444444444446</v>
      </c>
    </row>
    <row r="34" spans="1:14">
      <c r="A34" s="57" t="s">
        <v>38</v>
      </c>
      <c r="B34" s="29"/>
      <c r="C34" s="29"/>
      <c r="D34" s="29"/>
      <c r="E34" s="29"/>
      <c r="F34" s="29"/>
      <c r="G34" s="21">
        <f>G32/G33</f>
        <v>1.4491922876498178</v>
      </c>
      <c r="H34" s="21">
        <f>H32/H33</f>
        <v>2.4590932777488272</v>
      </c>
      <c r="I34" s="29"/>
      <c r="J34" s="29"/>
      <c r="K34" s="29"/>
      <c r="L34" s="29"/>
      <c r="M34" s="29"/>
      <c r="N34" s="46">
        <f>SUM(B34:M34)</f>
        <v>3.908285565398645</v>
      </c>
    </row>
    <row r="35" spans="1:14">
      <c r="A35" s="57" t="s">
        <v>47</v>
      </c>
      <c r="B35" s="29"/>
      <c r="C35" s="27"/>
      <c r="D35" s="21"/>
      <c r="E35" s="21"/>
      <c r="F35" s="21"/>
      <c r="G35" s="32"/>
      <c r="H35" s="32"/>
      <c r="I35" s="28"/>
      <c r="J35" s="28"/>
      <c r="K35" s="21"/>
      <c r="L35" s="21"/>
      <c r="M35" s="21"/>
      <c r="N35" s="46">
        <f>SUM(B35:M35)</f>
        <v>0</v>
      </c>
    </row>
    <row r="36" spans="1:14">
      <c r="A36" s="23" t="s">
        <v>36</v>
      </c>
      <c r="B36" s="29"/>
      <c r="C36" s="27"/>
      <c r="D36" s="21"/>
      <c r="E36" s="21"/>
      <c r="F36" s="21"/>
      <c r="G36" s="32"/>
      <c r="H36" s="32"/>
      <c r="I36" s="28"/>
      <c r="J36" s="28"/>
      <c r="K36" s="21"/>
      <c r="L36" s="21"/>
      <c r="M36" s="21"/>
      <c r="N36" s="72">
        <f>SUM(B36:M36)/1</f>
        <v>0</v>
      </c>
    </row>
    <row r="37" spans="1:14">
      <c r="A37" s="57" t="s">
        <v>38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46">
        <f>SUM(B37:M37)</f>
        <v>0</v>
      </c>
    </row>
    <row r="38" spans="1:14">
      <c r="A38" s="22" t="s">
        <v>40</v>
      </c>
      <c r="B38" s="22">
        <f t="shared" ref="B38:N38" si="9">B31+B24+B16+B9+B5</f>
        <v>20999.98</v>
      </c>
      <c r="C38" s="22">
        <f t="shared" si="9"/>
        <v>56391.67</v>
      </c>
      <c r="D38" s="22">
        <f t="shared" si="9"/>
        <v>140446.68</v>
      </c>
      <c r="E38" s="22">
        <f t="shared" si="9"/>
        <v>65961.03</v>
      </c>
      <c r="F38" s="22">
        <f t="shared" si="9"/>
        <v>24019.439999999995</v>
      </c>
      <c r="G38" s="22">
        <f t="shared" si="9"/>
        <v>9385.58</v>
      </c>
      <c r="H38" s="22">
        <f t="shared" si="9"/>
        <v>7554.55</v>
      </c>
      <c r="I38" s="22">
        <f t="shared" si="9"/>
        <v>0</v>
      </c>
      <c r="J38" s="22">
        <f t="shared" si="9"/>
        <v>0</v>
      </c>
      <c r="K38" s="22">
        <f t="shared" si="9"/>
        <v>0</v>
      </c>
      <c r="L38" s="22">
        <f t="shared" si="9"/>
        <v>0</v>
      </c>
      <c r="M38" s="22">
        <f t="shared" si="9"/>
        <v>0</v>
      </c>
      <c r="N38" s="22">
        <f t="shared" si="9"/>
        <v>324758.93</v>
      </c>
    </row>
    <row r="40" spans="1:14" ht="18.75">
      <c r="B40" s="146"/>
      <c r="C40" s="146"/>
      <c r="D40" s="146"/>
      <c r="E40" s="146"/>
      <c r="F40" s="146"/>
      <c r="G40" s="146"/>
      <c r="H40" s="33"/>
      <c r="I40" s="33"/>
      <c r="J40" s="146"/>
      <c r="K40" s="146"/>
      <c r="L40" s="146"/>
      <c r="M40" s="146"/>
    </row>
  </sheetData>
  <mergeCells count="9">
    <mergeCell ref="A30:N30"/>
    <mergeCell ref="B40:G40"/>
    <mergeCell ref="J40:M40"/>
    <mergeCell ref="A1:N1"/>
    <mergeCell ref="E2:J2"/>
    <mergeCell ref="A4:N4"/>
    <mergeCell ref="A8:N8"/>
    <mergeCell ref="A15:N15"/>
    <mergeCell ref="A23:N23"/>
  </mergeCells>
  <pageMargins left="0.19685039370078741" right="0.19685039370078741" top="0.39370078740157483" bottom="0.39370078740157483" header="0" footer="0"/>
  <pageSetup paperSize="9" scale="80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3"/>
  <sheetViews>
    <sheetView zoomScale="70" zoomScaleNormal="70" zoomScaleSheetLayoutView="80" workbookViewId="0">
      <selection activeCell="I14" sqref="I14"/>
    </sheetView>
  </sheetViews>
  <sheetFormatPr defaultRowHeight="15.75"/>
  <cols>
    <col min="1" max="1" width="22.85546875" style="17" customWidth="1"/>
    <col min="2" max="2" width="12.28515625" style="17" customWidth="1"/>
    <col min="3" max="3" width="13.140625" style="17" bestFit="1" customWidth="1"/>
    <col min="4" max="6" width="12" style="17" bestFit="1" customWidth="1"/>
    <col min="7" max="7" width="11.140625" style="17" customWidth="1"/>
    <col min="8" max="8" width="11.42578125" style="17" customWidth="1"/>
    <col min="9" max="9" width="12.28515625" style="17" customWidth="1"/>
    <col min="10" max="10" width="11.28515625" style="17" customWidth="1"/>
    <col min="11" max="12" width="10.5703125" style="17" customWidth="1"/>
    <col min="13" max="13" width="10.85546875" style="17" customWidth="1"/>
    <col min="14" max="14" width="13.28515625" style="17" customWidth="1"/>
    <col min="15" max="15" width="11.28515625" style="17" bestFit="1" customWidth="1"/>
    <col min="16" max="16384" width="9.140625" style="17"/>
  </cols>
  <sheetData>
    <row r="1" spans="1:14" ht="23.25" customHeight="1">
      <c r="A1" s="150" t="s">
        <v>76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9.5" customHeight="1">
      <c r="A2" s="91" t="s">
        <v>68</v>
      </c>
      <c r="B2" s="31"/>
      <c r="C2" s="31"/>
      <c r="D2" s="31"/>
      <c r="E2" s="151" t="s">
        <v>42</v>
      </c>
      <c r="F2" s="151"/>
      <c r="G2" s="151"/>
      <c r="H2" s="151"/>
      <c r="I2" s="151"/>
      <c r="J2" s="151"/>
      <c r="K2" s="31"/>
      <c r="L2" s="31"/>
      <c r="M2" s="31"/>
      <c r="N2" s="31"/>
    </row>
    <row r="3" spans="1:14" s="20" customFormat="1">
      <c r="A3" s="18"/>
      <c r="B3" s="58" t="s">
        <v>19</v>
      </c>
      <c r="C3" s="58" t="s">
        <v>20</v>
      </c>
      <c r="D3" s="58" t="s">
        <v>21</v>
      </c>
      <c r="E3" s="58" t="s">
        <v>22</v>
      </c>
      <c r="F3" s="58" t="s">
        <v>23</v>
      </c>
      <c r="G3" s="58" t="s">
        <v>24</v>
      </c>
      <c r="H3" s="58" t="s">
        <v>25</v>
      </c>
      <c r="I3" s="58" t="s">
        <v>26</v>
      </c>
      <c r="J3" s="58" t="s">
        <v>27</v>
      </c>
      <c r="K3" s="58" t="s">
        <v>28</v>
      </c>
      <c r="L3" s="58" t="s">
        <v>29</v>
      </c>
      <c r="M3" s="58" t="s">
        <v>30</v>
      </c>
      <c r="N3" s="19" t="s">
        <v>35</v>
      </c>
    </row>
    <row r="4" spans="1:14" ht="16.5" thickBot="1">
      <c r="A4" s="147">
        <v>2271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9"/>
    </row>
    <row r="5" spans="1:14" ht="16.5" thickBot="1">
      <c r="A5" s="63" t="s">
        <v>48</v>
      </c>
      <c r="B5" s="68"/>
      <c r="C5" s="68">
        <v>318459.45</v>
      </c>
      <c r="D5" s="116">
        <v>285265.74</v>
      </c>
      <c r="E5" s="116">
        <v>201041.15</v>
      </c>
      <c r="F5" s="68">
        <v>93430.5</v>
      </c>
      <c r="G5" s="68"/>
      <c r="H5" s="68"/>
      <c r="I5" s="68"/>
      <c r="J5" s="68"/>
      <c r="K5" s="68"/>
      <c r="L5" s="68"/>
      <c r="M5" s="68"/>
      <c r="N5" s="111">
        <f>SUM(B5:M5)</f>
        <v>898196.84</v>
      </c>
    </row>
    <row r="6" spans="1:14" s="26" customFormat="1" ht="16.5" thickBot="1">
      <c r="A6" s="69" t="s">
        <v>36</v>
      </c>
      <c r="B6" s="70"/>
      <c r="C6" s="70">
        <f>C5/C7</f>
        <v>3835.0126445086703</v>
      </c>
      <c r="D6" s="70">
        <f>D5/D7</f>
        <v>3835.0932336689834</v>
      </c>
      <c r="E6" s="70">
        <f>E5/E7</f>
        <v>3835.0903417663253</v>
      </c>
      <c r="F6" s="70">
        <v>3835.41</v>
      </c>
      <c r="G6" s="70"/>
      <c r="H6" s="70"/>
      <c r="I6" s="70"/>
      <c r="J6" s="70"/>
      <c r="K6" s="70"/>
      <c r="L6" s="70"/>
      <c r="M6" s="70"/>
      <c r="N6" s="65">
        <f>N5/N7</f>
        <v>5618.5941967637109</v>
      </c>
    </row>
    <row r="7" spans="1:14">
      <c r="A7" s="57" t="s">
        <v>37</v>
      </c>
      <c r="B7" s="41"/>
      <c r="C7" s="107">
        <v>83.04</v>
      </c>
      <c r="D7" s="114" t="s">
        <v>75</v>
      </c>
      <c r="E7" s="28">
        <v>52.421489999999999</v>
      </c>
      <c r="F7" s="27">
        <v>24.4</v>
      </c>
      <c r="G7" s="27"/>
      <c r="H7" s="27"/>
      <c r="I7" s="27"/>
      <c r="J7" s="27"/>
      <c r="K7" s="27"/>
      <c r="L7" s="28"/>
      <c r="M7" s="28"/>
      <c r="N7" s="104">
        <f>SUM(B7:M7)</f>
        <v>159.86149</v>
      </c>
    </row>
    <row r="8" spans="1:14" ht="16.5" thickBot="1">
      <c r="A8" s="147">
        <v>2272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/>
    </row>
    <row r="9" spans="1:14" ht="16.5" thickBot="1">
      <c r="A9" s="63" t="s">
        <v>48</v>
      </c>
      <c r="B9" s="68">
        <f>B10+B12</f>
        <v>0</v>
      </c>
      <c r="C9" s="68">
        <f t="shared" ref="C9:M9" si="0">C10+C12</f>
        <v>4678.2000000000007</v>
      </c>
      <c r="D9" s="68">
        <f t="shared" si="0"/>
        <v>2028</v>
      </c>
      <c r="E9" s="68">
        <f t="shared" si="0"/>
        <v>3647.67</v>
      </c>
      <c r="F9" s="68">
        <f t="shared" si="0"/>
        <v>3759.4</v>
      </c>
      <c r="G9" s="68">
        <f t="shared" si="0"/>
        <v>4106.32</v>
      </c>
      <c r="H9" s="68">
        <f t="shared" si="0"/>
        <v>-2920.6400000000003</v>
      </c>
      <c r="I9" s="68">
        <f t="shared" si="0"/>
        <v>0</v>
      </c>
      <c r="J9" s="68">
        <f t="shared" si="0"/>
        <v>0</v>
      </c>
      <c r="K9" s="68">
        <f>K10+K12</f>
        <v>0</v>
      </c>
      <c r="L9" s="68">
        <f t="shared" si="0"/>
        <v>0</v>
      </c>
      <c r="M9" s="68">
        <f t="shared" si="0"/>
        <v>0</v>
      </c>
      <c r="N9" s="65">
        <f>SUM(B9:M9)</f>
        <v>15298.95</v>
      </c>
    </row>
    <row r="10" spans="1:14">
      <c r="A10" s="59" t="s">
        <v>12</v>
      </c>
      <c r="B10" s="61"/>
      <c r="C10" s="61">
        <v>2122.8000000000002</v>
      </c>
      <c r="D10" s="61">
        <v>910</v>
      </c>
      <c r="E10" s="61">
        <v>1649.7</v>
      </c>
      <c r="F10" s="61">
        <v>1702.6</v>
      </c>
      <c r="G10" s="61">
        <v>1856.72</v>
      </c>
      <c r="H10" s="61">
        <v>-1210.99</v>
      </c>
      <c r="I10" s="61"/>
      <c r="J10" s="61"/>
      <c r="K10" s="61"/>
      <c r="L10" s="61"/>
      <c r="M10" s="61"/>
      <c r="N10" s="62">
        <f>SUM(B10:M10)</f>
        <v>7030.83</v>
      </c>
    </row>
    <row r="11" spans="1:14">
      <c r="A11" s="23" t="s">
        <v>36</v>
      </c>
      <c r="B11" s="24"/>
      <c r="C11" s="24">
        <f>SUM(C10/C14)</f>
        <v>35.380000000000003</v>
      </c>
      <c r="D11" s="24">
        <f t="shared" ref="D11:L11" si="1">D10/D14</f>
        <v>35</v>
      </c>
      <c r="E11" s="24">
        <f t="shared" si="1"/>
        <v>35.1</v>
      </c>
      <c r="F11" s="24">
        <f t="shared" si="1"/>
        <v>31.711678152356118</v>
      </c>
      <c r="G11" s="24">
        <f t="shared" si="1"/>
        <v>32.012413793103448</v>
      </c>
      <c r="H11" s="24">
        <f t="shared" si="1"/>
        <v>29.033565092304002</v>
      </c>
      <c r="I11" s="24" t="e">
        <f t="shared" si="1"/>
        <v>#DIV/0!</v>
      </c>
      <c r="J11" s="24" t="e">
        <f t="shared" si="1"/>
        <v>#DIV/0!</v>
      </c>
      <c r="K11" s="24" t="e">
        <f t="shared" si="1"/>
        <v>#DIV/0!</v>
      </c>
      <c r="L11" s="24" t="e">
        <f t="shared" si="1"/>
        <v>#DIV/0!</v>
      </c>
      <c r="M11" s="24"/>
      <c r="N11" s="25">
        <f>N10/N14</f>
        <v>34.638043156961281</v>
      </c>
    </row>
    <row r="12" spans="1:14">
      <c r="A12" s="57" t="s">
        <v>13</v>
      </c>
      <c r="B12" s="21"/>
      <c r="C12" s="21">
        <v>2555.4</v>
      </c>
      <c r="D12" s="21">
        <v>1118</v>
      </c>
      <c r="E12" s="21">
        <v>1997.97</v>
      </c>
      <c r="F12" s="21">
        <v>2056.8000000000002</v>
      </c>
      <c r="G12" s="21">
        <v>2249.6</v>
      </c>
      <c r="H12" s="21">
        <v>-1709.65</v>
      </c>
      <c r="I12" s="21"/>
      <c r="J12" s="21"/>
      <c r="K12" s="21"/>
      <c r="L12" s="21"/>
      <c r="M12" s="21"/>
      <c r="N12" s="22">
        <f>B12+C12+D12+E12+F12+G12+H12+I12+J12+K12+L12+M12</f>
        <v>8268.1200000000008</v>
      </c>
    </row>
    <row r="13" spans="1:14" s="26" customFormat="1">
      <c r="A13" s="23" t="s">
        <v>36</v>
      </c>
      <c r="B13" s="24"/>
      <c r="C13" s="24">
        <f>SUM(C12/C14)</f>
        <v>42.59</v>
      </c>
      <c r="D13" s="24">
        <f t="shared" ref="D13:L13" si="2">D12/D14</f>
        <v>43</v>
      </c>
      <c r="E13" s="24">
        <f t="shared" si="2"/>
        <v>42.51</v>
      </c>
      <c r="F13" s="24">
        <f t="shared" si="2"/>
        <v>38.308809834233571</v>
      </c>
      <c r="G13" s="24">
        <f t="shared" si="2"/>
        <v>38.786206896551725</v>
      </c>
      <c r="H13" s="24">
        <f t="shared" si="2"/>
        <v>40.98897146967154</v>
      </c>
      <c r="I13" s="24" t="e">
        <f t="shared" si="2"/>
        <v>#DIV/0!</v>
      </c>
      <c r="J13" s="24" t="e">
        <f t="shared" si="2"/>
        <v>#DIV/0!</v>
      </c>
      <c r="K13" s="24" t="e">
        <f t="shared" si="2"/>
        <v>#DIV/0!</v>
      </c>
      <c r="L13" s="24" t="e">
        <f t="shared" si="2"/>
        <v>#DIV/0!</v>
      </c>
      <c r="M13" s="24"/>
      <c r="N13" s="25">
        <f>N12/N14</f>
        <v>40.733668341708551</v>
      </c>
    </row>
    <row r="14" spans="1:14">
      <c r="A14" s="57" t="s">
        <v>38</v>
      </c>
      <c r="B14" s="32"/>
      <c r="C14" s="107">
        <v>60</v>
      </c>
      <c r="D14" s="32">
        <v>26</v>
      </c>
      <c r="E14" s="32">
        <v>47</v>
      </c>
      <c r="F14" s="32">
        <v>53.69</v>
      </c>
      <c r="G14" s="32">
        <v>58</v>
      </c>
      <c r="H14" s="32">
        <v>-41.71</v>
      </c>
      <c r="I14" s="32"/>
      <c r="J14" s="32"/>
      <c r="K14" s="32"/>
      <c r="L14" s="32"/>
      <c r="M14" s="32"/>
      <c r="N14" s="113">
        <f>SUM(B14:M14)</f>
        <v>202.98</v>
      </c>
    </row>
    <row r="15" spans="1:14" ht="16.5" thickBot="1">
      <c r="A15" s="147">
        <v>2273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9"/>
    </row>
    <row r="16" spans="1:14" ht="16.5" thickBot="1">
      <c r="A16" s="66" t="s">
        <v>48</v>
      </c>
      <c r="B16" s="67">
        <f>B17+B20+B22</f>
        <v>122765.69</v>
      </c>
      <c r="C16" s="67">
        <f>C17+C20+C22</f>
        <v>92691.069999999992</v>
      </c>
      <c r="D16" s="67">
        <f t="shared" ref="D16:M16" si="3">D17+D20+D22</f>
        <v>84541.85</v>
      </c>
      <c r="E16" s="67">
        <f t="shared" si="3"/>
        <v>69431.960000000006</v>
      </c>
      <c r="F16" s="67">
        <f t="shared" si="3"/>
        <v>13105.369999999999</v>
      </c>
      <c r="G16" s="67">
        <f t="shared" si="3"/>
        <v>35158.910000000003</v>
      </c>
      <c r="H16" s="67">
        <f t="shared" si="3"/>
        <v>33812.959999999999</v>
      </c>
      <c r="I16" s="67">
        <f t="shared" si="3"/>
        <v>0</v>
      </c>
      <c r="J16" s="67">
        <f t="shared" si="3"/>
        <v>0</v>
      </c>
      <c r="K16" s="67"/>
      <c r="L16" s="67">
        <f t="shared" si="3"/>
        <v>0</v>
      </c>
      <c r="M16" s="67">
        <f t="shared" si="3"/>
        <v>0</v>
      </c>
      <c r="N16" s="65">
        <f>SUM(B16:M16)</f>
        <v>451507.81</v>
      </c>
    </row>
    <row r="17" spans="1:14">
      <c r="A17" s="59" t="s">
        <v>49</v>
      </c>
      <c r="B17" s="61">
        <v>105050.49</v>
      </c>
      <c r="C17" s="61">
        <v>71485.899999999994</v>
      </c>
      <c r="D17" s="61">
        <v>80841.850000000006</v>
      </c>
      <c r="E17" s="61">
        <v>69431.960000000006</v>
      </c>
      <c r="F17" s="61">
        <v>10350.9</v>
      </c>
      <c r="G17" s="61">
        <v>27473.31</v>
      </c>
      <c r="H17" s="61">
        <v>25189.69</v>
      </c>
      <c r="I17" s="61"/>
      <c r="J17" s="61"/>
      <c r="K17" s="61"/>
      <c r="L17" s="61"/>
      <c r="M17" s="61"/>
      <c r="N17" s="62">
        <f>SUM(B17:M17)</f>
        <v>389824.10000000003</v>
      </c>
    </row>
    <row r="18" spans="1:14" s="26" customFormat="1">
      <c r="A18" s="23" t="s">
        <v>36</v>
      </c>
      <c r="B18" s="24">
        <f t="shared" ref="B18:K18" si="4">B17/B19</f>
        <v>8.6900028621865459</v>
      </c>
      <c r="C18" s="24">
        <f t="shared" si="4"/>
        <v>8.3800068694442178</v>
      </c>
      <c r="D18" s="24">
        <v>8.3800000000000008</v>
      </c>
      <c r="E18" s="24">
        <f>E17/E19</f>
        <v>8.3799967171327054</v>
      </c>
      <c r="F18" s="24">
        <f t="shared" si="4"/>
        <v>8.3800063148179618</v>
      </c>
      <c r="G18" s="24">
        <v>8.3800000000000008</v>
      </c>
      <c r="H18" s="24">
        <v>6.71</v>
      </c>
      <c r="I18" s="24" t="e">
        <f t="shared" si="4"/>
        <v>#DIV/0!</v>
      </c>
      <c r="J18" s="24" t="e">
        <f t="shared" si="4"/>
        <v>#DIV/0!</v>
      </c>
      <c r="K18" s="24" t="e">
        <f t="shared" si="4"/>
        <v>#DIV/0!</v>
      </c>
      <c r="L18" s="24"/>
      <c r="M18" s="24"/>
      <c r="N18" s="62">
        <f>N17/N19</f>
        <v>8.5078561653883789</v>
      </c>
    </row>
    <row r="19" spans="1:14" s="26" customFormat="1">
      <c r="A19" s="22" t="s">
        <v>39</v>
      </c>
      <c r="B19" s="24">
        <v>12088.66</v>
      </c>
      <c r="C19" s="24">
        <v>8530.5300000000007</v>
      </c>
      <c r="D19" s="24">
        <v>8647</v>
      </c>
      <c r="E19" s="24">
        <v>8285.44</v>
      </c>
      <c r="F19" s="24">
        <v>1235.19</v>
      </c>
      <c r="G19" s="24">
        <f>G17/G18</f>
        <v>3278.4379474940333</v>
      </c>
      <c r="H19" s="24">
        <f>H17/H18</f>
        <v>3754.0521609538</v>
      </c>
      <c r="I19" s="24"/>
      <c r="J19" s="24"/>
      <c r="K19" s="24"/>
      <c r="L19" s="24"/>
      <c r="M19" s="24"/>
      <c r="N19" s="62">
        <f>SUM(B19:M19)</f>
        <v>45819.31010844784</v>
      </c>
    </row>
    <row r="20" spans="1:14" s="26" customFormat="1">
      <c r="A20" s="57" t="s">
        <v>45</v>
      </c>
      <c r="B20" s="24">
        <v>17715.2</v>
      </c>
      <c r="C20" s="24">
        <v>21205.17</v>
      </c>
      <c r="D20" s="24">
        <v>3700</v>
      </c>
      <c r="E20" s="24"/>
      <c r="F20" s="24">
        <v>2754.47</v>
      </c>
      <c r="G20" s="24">
        <v>7685.6</v>
      </c>
      <c r="H20" s="24">
        <v>8623.27</v>
      </c>
      <c r="I20" s="24"/>
      <c r="J20" s="24"/>
      <c r="K20" s="24"/>
      <c r="L20" s="24"/>
      <c r="M20" s="24"/>
      <c r="N20" s="62">
        <f>SUM(B20:M20)</f>
        <v>61683.709999999992</v>
      </c>
    </row>
    <row r="21" spans="1:14" s="26" customFormat="1">
      <c r="A21" s="23" t="s">
        <v>36</v>
      </c>
      <c r="B21" s="24">
        <v>2.23</v>
      </c>
      <c r="C21" s="24">
        <v>2.23</v>
      </c>
      <c r="D21" s="24">
        <v>2.23</v>
      </c>
      <c r="E21" s="24">
        <f t="shared" ref="E21:H21" si="5">E20/E19</f>
        <v>0</v>
      </c>
      <c r="F21" s="24">
        <f t="shared" si="5"/>
        <v>2.2299970045094275</v>
      </c>
      <c r="G21" s="24">
        <f t="shared" si="5"/>
        <v>2.3442871645244057</v>
      </c>
      <c r="H21" s="24">
        <f t="shared" si="5"/>
        <v>2.2970565219341728</v>
      </c>
      <c r="I21" s="24" t="e">
        <f>I20/I19</f>
        <v>#DIV/0!</v>
      </c>
      <c r="J21" s="24" t="e">
        <f>J20/J19</f>
        <v>#DIV/0!</v>
      </c>
      <c r="K21" s="24" t="e">
        <f>K20/K19</f>
        <v>#DIV/0!</v>
      </c>
      <c r="L21" s="24"/>
      <c r="M21" s="24"/>
      <c r="N21" s="62">
        <v>2.23</v>
      </c>
    </row>
    <row r="22" spans="1:14" s="26" customFormat="1">
      <c r="A22" s="57" t="s">
        <v>50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62">
        <f>SUM(B22:M22)</f>
        <v>0</v>
      </c>
    </row>
    <row r="23" spans="1:14" ht="16.5" thickBot="1">
      <c r="A23" s="147">
        <v>2274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</row>
    <row r="24" spans="1:14" ht="16.5" thickBot="1">
      <c r="A24" s="66" t="s">
        <v>48</v>
      </c>
      <c r="B24" s="67">
        <f>B25+B27</f>
        <v>0</v>
      </c>
      <c r="C24" s="67">
        <f t="shared" ref="C24:M24" si="6">C25+C27</f>
        <v>106.78</v>
      </c>
      <c r="D24" s="67">
        <f t="shared" si="6"/>
        <v>3937.41</v>
      </c>
      <c r="E24" s="67">
        <f t="shared" si="6"/>
        <v>1725.21</v>
      </c>
      <c r="F24" s="67">
        <f>F25+F27</f>
        <v>170.53</v>
      </c>
      <c r="G24" s="67">
        <f t="shared" si="6"/>
        <v>0</v>
      </c>
      <c r="H24" s="103">
        <f t="shared" si="6"/>
        <v>119.84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6"/>
        <v>0</v>
      </c>
      <c r="N24" s="65">
        <f>SUM(B24:M24)</f>
        <v>6059.7699999999995</v>
      </c>
    </row>
    <row r="25" spans="1:14">
      <c r="A25" s="59" t="s">
        <v>51</v>
      </c>
      <c r="B25" s="61"/>
      <c r="C25" s="61">
        <v>106.78</v>
      </c>
      <c r="D25" s="61">
        <v>242.76</v>
      </c>
      <c r="E25" s="61"/>
      <c r="F25" s="61"/>
      <c r="G25" s="61"/>
      <c r="H25" s="61">
        <v>119.84</v>
      </c>
      <c r="I25" s="61"/>
      <c r="J25" s="61"/>
      <c r="K25" s="61"/>
      <c r="L25" s="61"/>
      <c r="M25" s="61"/>
      <c r="N25" s="62">
        <f>SUM(B25:M25)</f>
        <v>469.38</v>
      </c>
    </row>
    <row r="26" spans="1:14">
      <c r="A26" s="23" t="s">
        <v>36</v>
      </c>
      <c r="B26" s="61" t="e">
        <f>B25/B29</f>
        <v>#DIV/0!</v>
      </c>
      <c r="C26" s="61">
        <f t="shared" ref="C26:L26" si="7">C25/C29</f>
        <v>2.0402859992586335</v>
      </c>
      <c r="D26" s="61">
        <v>2.04</v>
      </c>
      <c r="E26" s="61">
        <f t="shared" si="7"/>
        <v>0</v>
      </c>
      <c r="F26" s="61">
        <f t="shared" si="7"/>
        <v>0</v>
      </c>
      <c r="G26" s="61" t="e">
        <f t="shared" si="7"/>
        <v>#DIV/0!</v>
      </c>
      <c r="H26" s="61">
        <v>2.04</v>
      </c>
      <c r="I26" s="61" t="e">
        <f t="shared" si="7"/>
        <v>#DIV/0!</v>
      </c>
      <c r="J26" s="61" t="e">
        <f t="shared" si="7"/>
        <v>#DIV/0!</v>
      </c>
      <c r="K26" s="61" t="e">
        <f t="shared" si="7"/>
        <v>#DIV/0!</v>
      </c>
      <c r="L26" s="61" t="e">
        <f t="shared" si="7"/>
        <v>#DIV/0!</v>
      </c>
      <c r="M26" s="61"/>
      <c r="N26" s="62">
        <f>N25/N29</f>
        <v>8.9126013818587388</v>
      </c>
    </row>
    <row r="27" spans="1:14">
      <c r="A27" s="57" t="s">
        <v>52</v>
      </c>
      <c r="B27" s="21"/>
      <c r="C27" s="21"/>
      <c r="D27" s="21">
        <v>3694.65</v>
      </c>
      <c r="E27" s="21">
        <v>1725.21</v>
      </c>
      <c r="F27" s="21">
        <v>170.53</v>
      </c>
      <c r="G27" s="21"/>
      <c r="H27" s="21"/>
      <c r="I27" s="21"/>
      <c r="J27" s="21"/>
      <c r="K27" s="21"/>
      <c r="L27" s="21"/>
      <c r="M27" s="21"/>
      <c r="N27" s="22">
        <f>SUM(B27:M27)</f>
        <v>5590.39</v>
      </c>
    </row>
    <row r="28" spans="1:14">
      <c r="A28" s="23" t="s">
        <v>36</v>
      </c>
      <c r="B28" s="24" t="e">
        <f>B27/B29</f>
        <v>#DIV/0!</v>
      </c>
      <c r="C28" s="24">
        <f>C27/C29</f>
        <v>0</v>
      </c>
      <c r="D28" s="24">
        <v>17052.599999999999</v>
      </c>
      <c r="E28" s="24">
        <v>17052.599999999999</v>
      </c>
      <c r="F28" s="24">
        <f t="shared" ref="F28:H28" si="8">F27/F29</f>
        <v>17053</v>
      </c>
      <c r="G28" s="24" t="e">
        <f t="shared" si="8"/>
        <v>#DIV/0!</v>
      </c>
      <c r="H28" s="24" t="e">
        <f t="shared" si="8"/>
        <v>#DIV/0!</v>
      </c>
      <c r="I28" s="21"/>
      <c r="J28" s="21"/>
      <c r="K28" s="21"/>
      <c r="L28" s="21"/>
      <c r="M28" s="21"/>
      <c r="N28" s="25">
        <v>16.55</v>
      </c>
    </row>
    <row r="29" spans="1:14">
      <c r="A29" s="57" t="s">
        <v>38</v>
      </c>
      <c r="B29" s="21"/>
      <c r="C29" s="21">
        <v>52.335799999999999</v>
      </c>
      <c r="D29" s="115">
        <v>0.21743000000000001</v>
      </c>
      <c r="E29" s="41">
        <v>0.1015285693</v>
      </c>
      <c r="F29" s="41">
        <v>0.01</v>
      </c>
      <c r="G29" s="21"/>
      <c r="H29" s="21"/>
      <c r="I29" s="21"/>
      <c r="J29" s="21"/>
      <c r="K29" s="21"/>
      <c r="L29" s="29"/>
      <c r="M29" s="29"/>
      <c r="N29" s="22">
        <f>SUM(B29:M29)</f>
        <v>52.664758569299998</v>
      </c>
    </row>
    <row r="30" spans="1:14" ht="16.5" thickBot="1">
      <c r="A30" s="147">
        <v>2275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</row>
    <row r="31" spans="1:14" ht="16.5" thickBot="1">
      <c r="A31" s="63" t="s">
        <v>48</v>
      </c>
      <c r="B31" s="68">
        <f>B32+B35</f>
        <v>0</v>
      </c>
      <c r="C31" s="68">
        <f t="shared" ref="C31:M31" si="9">C32+C35</f>
        <v>0</v>
      </c>
      <c r="D31" s="64">
        <f t="shared" si="9"/>
        <v>525</v>
      </c>
      <c r="E31" s="68">
        <f t="shared" si="9"/>
        <v>0</v>
      </c>
      <c r="F31" s="64">
        <f t="shared" si="9"/>
        <v>556.20000000000005</v>
      </c>
      <c r="G31" s="68">
        <f t="shared" si="9"/>
        <v>0</v>
      </c>
      <c r="H31" s="68">
        <f>H32+H35+H38</f>
        <v>68.8</v>
      </c>
      <c r="I31" s="68">
        <f t="shared" si="9"/>
        <v>0</v>
      </c>
      <c r="J31" s="68">
        <f t="shared" si="9"/>
        <v>0</v>
      </c>
      <c r="K31" s="68">
        <f t="shared" si="9"/>
        <v>0</v>
      </c>
      <c r="L31" s="68">
        <f t="shared" si="9"/>
        <v>0</v>
      </c>
      <c r="M31" s="68">
        <f t="shared" si="9"/>
        <v>0</v>
      </c>
      <c r="N31" s="65">
        <f>N32+N35+N38</f>
        <v>1150</v>
      </c>
    </row>
    <row r="32" spans="1:14">
      <c r="A32" s="59" t="s">
        <v>46</v>
      </c>
      <c r="B32" s="60"/>
      <c r="C32" s="61"/>
      <c r="D32" s="61">
        <f>175+350</f>
        <v>525</v>
      </c>
      <c r="E32" s="61"/>
      <c r="F32" s="61">
        <v>556.20000000000005</v>
      </c>
      <c r="G32" s="61"/>
      <c r="H32" s="61">
        <v>68.8</v>
      </c>
      <c r="I32" s="61"/>
      <c r="J32" s="61"/>
      <c r="K32" s="61"/>
      <c r="L32" s="61"/>
      <c r="M32" s="61"/>
      <c r="N32" s="62">
        <f>SUM(B32:M32)</f>
        <v>1150</v>
      </c>
    </row>
    <row r="33" spans="1:14">
      <c r="A33" s="23" t="s">
        <v>36</v>
      </c>
      <c r="B33" s="29"/>
      <c r="C33" s="21"/>
      <c r="D33" s="21">
        <v>191.9</v>
      </c>
      <c r="E33" s="21"/>
      <c r="F33" s="21">
        <v>191.9</v>
      </c>
      <c r="G33" s="21">
        <v>191.9</v>
      </c>
      <c r="H33" s="21">
        <v>191.9</v>
      </c>
      <c r="I33" s="21"/>
      <c r="J33" s="21"/>
      <c r="K33" s="21"/>
      <c r="L33" s="21"/>
      <c r="M33" s="21"/>
      <c r="N33" s="25">
        <v>191.9</v>
      </c>
    </row>
    <row r="34" spans="1:14">
      <c r="A34" s="57" t="s">
        <v>38</v>
      </c>
      <c r="B34" s="21"/>
      <c r="C34" s="21"/>
      <c r="D34" s="21">
        <f>D32/D33</f>
        <v>2.7357998957790515</v>
      </c>
      <c r="E34" s="21"/>
      <c r="F34" s="21">
        <f>F32/F33</f>
        <v>2.8983845752996356</v>
      </c>
      <c r="G34" s="21">
        <f t="shared" ref="G34:M34" si="10">G32/G33</f>
        <v>0</v>
      </c>
      <c r="H34" s="21">
        <f t="shared" si="10"/>
        <v>0.35852006253256902</v>
      </c>
      <c r="I34" s="21" t="e">
        <f t="shared" si="10"/>
        <v>#DIV/0!</v>
      </c>
      <c r="J34" s="21" t="e">
        <f t="shared" si="10"/>
        <v>#DIV/0!</v>
      </c>
      <c r="K34" s="21" t="e">
        <f t="shared" si="10"/>
        <v>#DIV/0!</v>
      </c>
      <c r="L34" s="21" t="e">
        <f t="shared" si="10"/>
        <v>#DIV/0!</v>
      </c>
      <c r="M34" s="21" t="e">
        <f t="shared" si="10"/>
        <v>#DIV/0!</v>
      </c>
      <c r="N34" s="22" t="e">
        <f>SUM(B34:M34)</f>
        <v>#DIV/0!</v>
      </c>
    </row>
    <row r="35" spans="1:14">
      <c r="A35" s="57" t="s">
        <v>47</v>
      </c>
      <c r="B35" s="21"/>
      <c r="C35" s="27"/>
      <c r="D35" s="21"/>
      <c r="E35" s="21"/>
      <c r="F35" s="21"/>
      <c r="G35" s="32"/>
      <c r="H35" s="21"/>
      <c r="I35" s="28"/>
      <c r="J35" s="28"/>
      <c r="K35" s="21"/>
      <c r="L35" s="21"/>
      <c r="M35" s="21"/>
      <c r="N35" s="46">
        <f>SUM(B35:M35)</f>
        <v>0</v>
      </c>
    </row>
    <row r="36" spans="1:14">
      <c r="A36" s="23" t="s">
        <v>36</v>
      </c>
      <c r="B36" s="21"/>
      <c r="C36" s="27"/>
      <c r="D36" s="21"/>
      <c r="E36" s="21"/>
      <c r="F36" s="21"/>
      <c r="G36" s="32"/>
      <c r="H36" s="21" t="e">
        <f>H35/H37</f>
        <v>#DIV/0!</v>
      </c>
      <c r="I36" s="21"/>
      <c r="J36" s="28"/>
      <c r="K36" s="21"/>
      <c r="L36" s="21"/>
      <c r="M36" s="21"/>
      <c r="N36" s="72" t="e">
        <f>SUM(B36:M36)/1</f>
        <v>#DIV/0!</v>
      </c>
    </row>
    <row r="37" spans="1:14">
      <c r="A37" s="57" t="s">
        <v>38</v>
      </c>
      <c r="B37" s="21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46">
        <f>SUM(B37:M37)</f>
        <v>0</v>
      </c>
    </row>
    <row r="38" spans="1:14">
      <c r="A38" s="57" t="s">
        <v>70</v>
      </c>
      <c r="B38" s="21"/>
      <c r="C38" s="29"/>
      <c r="D38" s="29"/>
      <c r="E38" s="29"/>
      <c r="F38" s="29"/>
      <c r="G38" s="29"/>
      <c r="H38" s="21"/>
      <c r="I38" s="29"/>
      <c r="J38" s="29"/>
      <c r="K38" s="29"/>
      <c r="L38" s="29"/>
      <c r="M38" s="29"/>
      <c r="N38" s="46">
        <f>H38+I38+J38+K38+L38+M38</f>
        <v>0</v>
      </c>
    </row>
    <row r="39" spans="1:14">
      <c r="A39" s="23" t="s">
        <v>36</v>
      </c>
      <c r="B39" s="21"/>
      <c r="C39" s="29"/>
      <c r="D39" s="29"/>
      <c r="E39" s="29"/>
      <c r="F39" s="29"/>
      <c r="G39" s="29"/>
      <c r="H39" s="21" t="e">
        <f>H38/H40</f>
        <v>#DIV/0!</v>
      </c>
      <c r="I39" s="29"/>
      <c r="J39" s="29"/>
      <c r="K39" s="29"/>
      <c r="L39" s="29"/>
      <c r="M39" s="29"/>
      <c r="N39" s="22" t="e">
        <f>N38/N40</f>
        <v>#DIV/0!</v>
      </c>
    </row>
    <row r="40" spans="1:14">
      <c r="A40" s="57" t="s">
        <v>71</v>
      </c>
      <c r="B40" s="21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46">
        <f>H40+I40+J40+K40+L40+M40</f>
        <v>0</v>
      </c>
    </row>
    <row r="41" spans="1:14">
      <c r="A41" s="22" t="s">
        <v>40</v>
      </c>
      <c r="B41" s="22">
        <f t="shared" ref="B41:N41" si="11">B31+B24+B16+B9+B5</f>
        <v>122765.69</v>
      </c>
      <c r="C41" s="22">
        <f t="shared" si="11"/>
        <v>415935.5</v>
      </c>
      <c r="D41" s="112">
        <f t="shared" si="11"/>
        <v>376298</v>
      </c>
      <c r="E41" s="112">
        <f t="shared" si="11"/>
        <v>275845.99</v>
      </c>
      <c r="F41" s="22">
        <f t="shared" si="11"/>
        <v>111022</v>
      </c>
      <c r="G41" s="22">
        <f t="shared" si="11"/>
        <v>39265.230000000003</v>
      </c>
      <c r="H41" s="112">
        <f t="shared" si="11"/>
        <v>31080.959999999999</v>
      </c>
      <c r="I41" s="22">
        <f t="shared" si="11"/>
        <v>0</v>
      </c>
      <c r="J41" s="22">
        <f t="shared" si="11"/>
        <v>0</v>
      </c>
      <c r="K41" s="112">
        <f t="shared" si="11"/>
        <v>0</v>
      </c>
      <c r="L41" s="112">
        <f t="shared" si="11"/>
        <v>0</v>
      </c>
      <c r="M41" s="112">
        <f t="shared" si="11"/>
        <v>0</v>
      </c>
      <c r="N41" s="112">
        <f t="shared" si="11"/>
        <v>1372213.37</v>
      </c>
    </row>
    <row r="43" spans="1:14" ht="18.75">
      <c r="B43" s="146"/>
      <c r="C43" s="146"/>
      <c r="D43" s="146"/>
      <c r="E43" s="146"/>
      <c r="F43" s="146"/>
      <c r="G43" s="146"/>
      <c r="H43" s="33"/>
      <c r="I43" s="33"/>
      <c r="J43" s="146"/>
      <c r="K43" s="146"/>
      <c r="L43" s="146"/>
      <c r="M43" s="146"/>
    </row>
  </sheetData>
  <mergeCells count="9">
    <mergeCell ref="A30:N30"/>
    <mergeCell ref="B43:G43"/>
    <mergeCell ref="J43:M43"/>
    <mergeCell ref="A1:N1"/>
    <mergeCell ref="E2:J2"/>
    <mergeCell ref="A4:N4"/>
    <mergeCell ref="A8:N8"/>
    <mergeCell ref="A15:N15"/>
    <mergeCell ref="A23:N23"/>
  </mergeCells>
  <pageMargins left="0.19685039370078741" right="0.19685039370078741" top="0.39370078740157483" bottom="0.39370078740157483" header="0" footer="0"/>
  <pageSetup paperSize="9" scale="80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0"/>
  <sheetViews>
    <sheetView zoomScale="70" zoomScaleNormal="70" zoomScaleSheetLayoutView="70" workbookViewId="0">
      <selection sqref="A1:N1"/>
    </sheetView>
  </sheetViews>
  <sheetFormatPr defaultRowHeight="15.75"/>
  <cols>
    <col min="1" max="1" width="24.42578125" style="17" customWidth="1"/>
    <col min="2" max="2" width="12.28515625" style="17" customWidth="1"/>
    <col min="3" max="3" width="13.140625" style="17" bestFit="1" customWidth="1"/>
    <col min="4" max="6" width="11.28515625" style="17" bestFit="1" customWidth="1"/>
    <col min="7" max="7" width="11.140625" style="17" customWidth="1"/>
    <col min="8" max="8" width="11.42578125" style="17" customWidth="1"/>
    <col min="9" max="9" width="12.28515625" style="17" customWidth="1"/>
    <col min="10" max="10" width="12.42578125" style="17" customWidth="1"/>
    <col min="11" max="12" width="11.28515625" style="17" bestFit="1" customWidth="1"/>
    <col min="13" max="13" width="11.85546875" style="17" customWidth="1"/>
    <col min="14" max="14" width="12.5703125" style="17" customWidth="1"/>
    <col min="15" max="15" width="11.28515625" style="17" bestFit="1" customWidth="1"/>
    <col min="16" max="16384" width="9.140625" style="17"/>
  </cols>
  <sheetData>
    <row r="1" spans="1:14" ht="23.25" customHeight="1">
      <c r="A1" s="150" t="s">
        <v>79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9.5" customHeight="1">
      <c r="A2" s="91" t="s">
        <v>67</v>
      </c>
      <c r="B2" s="31"/>
      <c r="C2" s="31"/>
      <c r="D2" s="31"/>
      <c r="E2" s="151" t="s">
        <v>42</v>
      </c>
      <c r="F2" s="151"/>
      <c r="G2" s="151"/>
      <c r="H2" s="151"/>
      <c r="I2" s="151"/>
      <c r="J2" s="151"/>
      <c r="K2" s="31"/>
      <c r="L2" s="31"/>
      <c r="M2" s="31"/>
      <c r="N2" s="31"/>
    </row>
    <row r="3" spans="1:14" s="20" customFormat="1">
      <c r="A3" s="18"/>
      <c r="B3" s="58" t="s">
        <v>19</v>
      </c>
      <c r="C3" s="58" t="s">
        <v>20</v>
      </c>
      <c r="D3" s="58" t="s">
        <v>21</v>
      </c>
      <c r="E3" s="58" t="s">
        <v>22</v>
      </c>
      <c r="F3" s="58" t="s">
        <v>23</v>
      </c>
      <c r="G3" s="58" t="s">
        <v>24</v>
      </c>
      <c r="H3" s="58" t="s">
        <v>25</v>
      </c>
      <c r="I3" s="58" t="s">
        <v>26</v>
      </c>
      <c r="J3" s="58" t="s">
        <v>27</v>
      </c>
      <c r="K3" s="58" t="s">
        <v>28</v>
      </c>
      <c r="L3" s="58" t="s">
        <v>29</v>
      </c>
      <c r="M3" s="58" t="s">
        <v>30</v>
      </c>
      <c r="N3" s="19" t="s">
        <v>35</v>
      </c>
    </row>
    <row r="4" spans="1:14" ht="16.5" thickBot="1">
      <c r="A4" s="147">
        <v>2271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9"/>
    </row>
    <row r="5" spans="1:14" ht="16.5" thickBot="1">
      <c r="A5" s="63" t="s">
        <v>48</v>
      </c>
      <c r="B5" s="68"/>
      <c r="C5" s="68">
        <v>21058.97</v>
      </c>
      <c r="D5" s="68">
        <f>20249.28+1534.04</f>
        <v>21783.32</v>
      </c>
      <c r="E5" s="68">
        <f>14036.43+1534.04</f>
        <v>15570.470000000001</v>
      </c>
      <c r="F5" s="68">
        <v>9404.6</v>
      </c>
      <c r="G5" s="68"/>
      <c r="H5" s="68"/>
      <c r="I5" s="68"/>
      <c r="J5" s="68"/>
      <c r="K5" s="68"/>
      <c r="L5" s="68"/>
      <c r="M5" s="68"/>
      <c r="N5" s="65">
        <f>SUM(B5:M5)</f>
        <v>67817.36</v>
      </c>
    </row>
    <row r="6" spans="1:14" s="26" customFormat="1" ht="16.5" thickBot="1">
      <c r="A6" s="69" t="s">
        <v>36</v>
      </c>
      <c r="B6" s="70"/>
      <c r="C6" s="70">
        <f>C5/C7</f>
        <v>3828.9036363636365</v>
      </c>
      <c r="D6" s="70">
        <f>D5/D7</f>
        <v>3835.0915492957743</v>
      </c>
      <c r="E6" s="70">
        <f>E5/E7</f>
        <v>3835.0911330049257</v>
      </c>
      <c r="F6" s="70">
        <v>3835.09</v>
      </c>
      <c r="G6" s="70"/>
      <c r="H6" s="70"/>
      <c r="I6" s="70"/>
      <c r="J6" s="70"/>
      <c r="K6" s="70"/>
      <c r="L6" s="70"/>
      <c r="M6" s="70"/>
      <c r="N6" s="65">
        <f>N5/N7</f>
        <v>3822.8500563697853</v>
      </c>
    </row>
    <row r="7" spans="1:14">
      <c r="A7" s="57" t="s">
        <v>37</v>
      </c>
      <c r="B7" s="41"/>
      <c r="C7" s="28">
        <v>5.5</v>
      </c>
      <c r="D7" s="28">
        <f>5.28+0.4</f>
        <v>5.6800000000000006</v>
      </c>
      <c r="E7" s="28">
        <f>3.66+0.4</f>
        <v>4.0600000000000005</v>
      </c>
      <c r="F7" s="27">
        <v>2.5</v>
      </c>
      <c r="G7" s="27"/>
      <c r="H7" s="27"/>
      <c r="I7" s="27"/>
      <c r="J7" s="27"/>
      <c r="K7" s="27"/>
      <c r="L7" s="28"/>
      <c r="M7" s="28"/>
      <c r="N7" s="104">
        <f>SUM(B7:M7)</f>
        <v>17.740000000000002</v>
      </c>
    </row>
    <row r="8" spans="1:14" ht="16.5" thickBot="1">
      <c r="A8" s="147">
        <v>2272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9"/>
    </row>
    <row r="9" spans="1:14" ht="16.5" thickBot="1">
      <c r="A9" s="63" t="s">
        <v>48</v>
      </c>
      <c r="B9" s="68">
        <f>B10+B12</f>
        <v>0</v>
      </c>
      <c r="C9" s="68">
        <f t="shared" ref="C9:M9" si="0">C10+C12</f>
        <v>432.44</v>
      </c>
      <c r="D9" s="68">
        <f t="shared" si="0"/>
        <v>234</v>
      </c>
      <c r="E9" s="68">
        <f t="shared" si="0"/>
        <v>1630.3600000000001</v>
      </c>
      <c r="F9" s="68">
        <f t="shared" si="0"/>
        <v>704.88</v>
      </c>
      <c r="G9" s="68">
        <f t="shared" si="0"/>
        <v>1621.41</v>
      </c>
      <c r="H9" s="68">
        <f t="shared" si="0"/>
        <v>289.23</v>
      </c>
      <c r="I9" s="68">
        <f t="shared" si="0"/>
        <v>0</v>
      </c>
      <c r="J9" s="68">
        <f t="shared" si="0"/>
        <v>0</v>
      </c>
      <c r="K9" s="68">
        <f t="shared" si="0"/>
        <v>0</v>
      </c>
      <c r="L9" s="68">
        <f t="shared" si="0"/>
        <v>0</v>
      </c>
      <c r="M9" s="68">
        <f t="shared" si="0"/>
        <v>0</v>
      </c>
      <c r="N9" s="65">
        <f>SUM(B9:M9)</f>
        <v>4912.32</v>
      </c>
    </row>
    <row r="10" spans="1:14">
      <c r="A10" s="59" t="s">
        <v>12</v>
      </c>
      <c r="B10" s="61"/>
      <c r="C10" s="61">
        <v>176.9</v>
      </c>
      <c r="D10" s="61">
        <v>105</v>
      </c>
      <c r="E10" s="61">
        <v>737.39</v>
      </c>
      <c r="F10" s="61">
        <v>319.23</v>
      </c>
      <c r="G10" s="61">
        <v>732.69</v>
      </c>
      <c r="H10" s="61">
        <v>72.19</v>
      </c>
      <c r="I10" s="61"/>
      <c r="J10" s="61"/>
      <c r="K10" s="61"/>
      <c r="L10" s="61"/>
      <c r="M10" s="61"/>
      <c r="N10" s="25">
        <f>SUM(B10:M10)/1</f>
        <v>2143.4</v>
      </c>
    </row>
    <row r="11" spans="1:14">
      <c r="A11" s="23" t="s">
        <v>36</v>
      </c>
      <c r="B11" s="24"/>
      <c r="C11" s="24">
        <f>SUM(C10/C14)</f>
        <v>35.380000000000003</v>
      </c>
      <c r="D11" s="24">
        <f t="shared" ref="D11:K11" si="1">D10/D14</f>
        <v>35</v>
      </c>
      <c r="E11" s="24">
        <f t="shared" si="1"/>
        <v>35.103779872417405</v>
      </c>
      <c r="F11" s="24">
        <f t="shared" si="1"/>
        <v>35.207896768501158</v>
      </c>
      <c r="G11" s="24">
        <f t="shared" si="1"/>
        <v>33.063628158844764</v>
      </c>
      <c r="H11" s="24">
        <f t="shared" si="1"/>
        <v>23.063897763578275</v>
      </c>
      <c r="I11" s="24" t="e">
        <f t="shared" si="1"/>
        <v>#DIV/0!</v>
      </c>
      <c r="J11" s="24" t="e">
        <f t="shared" si="1"/>
        <v>#DIV/0!</v>
      </c>
      <c r="K11" s="24" t="e">
        <f t="shared" si="1"/>
        <v>#DIV/0!</v>
      </c>
      <c r="L11" s="24"/>
      <c r="M11" s="24"/>
      <c r="N11" s="25">
        <f>N10/N14</f>
        <v>33.827312469422218</v>
      </c>
    </row>
    <row r="12" spans="1:14">
      <c r="A12" s="57" t="s">
        <v>13</v>
      </c>
      <c r="B12" s="21"/>
      <c r="C12" s="21">
        <v>255.54</v>
      </c>
      <c r="D12" s="21">
        <v>129</v>
      </c>
      <c r="E12" s="21">
        <v>892.97</v>
      </c>
      <c r="F12" s="21">
        <v>385.65</v>
      </c>
      <c r="G12" s="21">
        <v>888.72</v>
      </c>
      <c r="H12" s="21">
        <v>217.04</v>
      </c>
      <c r="I12" s="21"/>
      <c r="J12" s="21"/>
      <c r="K12" s="21"/>
      <c r="L12" s="21"/>
      <c r="M12" s="21"/>
      <c r="N12" s="22">
        <f>B12+C12+D12+E12+F12+G12+H12+I12+J12+K12+L12+M12</f>
        <v>2768.92</v>
      </c>
    </row>
    <row r="13" spans="1:14" s="26" customFormat="1">
      <c r="A13" s="23" t="s">
        <v>36</v>
      </c>
      <c r="B13" s="24"/>
      <c r="C13" s="24">
        <f>SUM(C12/C14)</f>
        <v>51.107999999999997</v>
      </c>
      <c r="D13" s="24">
        <f t="shared" ref="D13:H13" si="2">D12/D14</f>
        <v>43</v>
      </c>
      <c r="E13" s="24">
        <f t="shared" si="2"/>
        <v>42.510235170903549</v>
      </c>
      <c r="F13" s="24">
        <f t="shared" si="2"/>
        <v>42.533362744016763</v>
      </c>
      <c r="G13" s="24">
        <f t="shared" si="2"/>
        <v>40.104693140794225</v>
      </c>
      <c r="H13" s="24">
        <f t="shared" si="2"/>
        <v>69.341853035143771</v>
      </c>
      <c r="I13" s="24" t="e">
        <f>I12/I14</f>
        <v>#DIV/0!</v>
      </c>
      <c r="J13" s="24" t="e">
        <f>J12/J14</f>
        <v>#DIV/0!</v>
      </c>
      <c r="K13" s="24" t="e">
        <f>K12/K14</f>
        <v>#DIV/0!</v>
      </c>
      <c r="L13" s="24"/>
      <c r="M13" s="24"/>
      <c r="N13" s="25">
        <f>N12/N14</f>
        <v>43.699319792307811</v>
      </c>
    </row>
    <row r="14" spans="1:14">
      <c r="A14" s="57" t="s">
        <v>38</v>
      </c>
      <c r="B14" s="32"/>
      <c r="C14" s="107">
        <v>5</v>
      </c>
      <c r="D14" s="32">
        <v>3</v>
      </c>
      <c r="E14" s="32">
        <v>21.006</v>
      </c>
      <c r="F14" s="32">
        <v>9.0670000000000002</v>
      </c>
      <c r="G14" s="32">
        <v>22.16</v>
      </c>
      <c r="H14" s="27">
        <v>3.13</v>
      </c>
      <c r="I14" s="32"/>
      <c r="J14" s="32"/>
      <c r="K14" s="32"/>
      <c r="L14" s="32"/>
      <c r="M14" s="32"/>
      <c r="N14" s="47">
        <f>SUM(B14:M14)</f>
        <v>63.363000000000007</v>
      </c>
    </row>
    <row r="15" spans="1:14" ht="16.5" thickBot="1">
      <c r="A15" s="147">
        <v>2273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9"/>
    </row>
    <row r="16" spans="1:14" ht="16.5" thickBot="1">
      <c r="A16" s="66" t="s">
        <v>48</v>
      </c>
      <c r="B16" s="67">
        <f>B17+B20+B22</f>
        <v>4088.7799999999997</v>
      </c>
      <c r="C16" s="67">
        <f>C17+C20+C22</f>
        <v>2715.98</v>
      </c>
      <c r="D16" s="67">
        <f t="shared" ref="D16:M16" si="3">D17+D20+D22</f>
        <v>2758.42</v>
      </c>
      <c r="E16" s="67">
        <f t="shared" si="3"/>
        <v>2758.41</v>
      </c>
      <c r="F16" s="67">
        <f t="shared" si="3"/>
        <v>8267.57</v>
      </c>
      <c r="G16" s="67">
        <f t="shared" si="3"/>
        <v>1880.03</v>
      </c>
      <c r="H16" s="67">
        <f t="shared" si="3"/>
        <v>3397.6600000000003</v>
      </c>
      <c r="I16" s="67">
        <f t="shared" si="3"/>
        <v>0</v>
      </c>
      <c r="J16" s="67">
        <f t="shared" si="3"/>
        <v>0</v>
      </c>
      <c r="K16" s="67">
        <f t="shared" si="3"/>
        <v>0</v>
      </c>
      <c r="L16" s="67">
        <f t="shared" si="3"/>
        <v>0</v>
      </c>
      <c r="M16" s="67">
        <f t="shared" si="3"/>
        <v>0</v>
      </c>
      <c r="N16" s="65">
        <f>SUM(B16:M16)</f>
        <v>25866.85</v>
      </c>
    </row>
    <row r="17" spans="1:14">
      <c r="A17" s="59" t="s">
        <v>49</v>
      </c>
      <c r="B17" s="61">
        <v>3450</v>
      </c>
      <c r="C17" s="61">
        <v>2146.17</v>
      </c>
      <c r="D17" s="61">
        <f>1760.53+419.18</f>
        <v>2179.71</v>
      </c>
      <c r="E17" s="61">
        <v>2179.6999999999998</v>
      </c>
      <c r="F17" s="61">
        <v>7688.91</v>
      </c>
      <c r="G17" s="61">
        <v>1503.95</v>
      </c>
      <c r="H17" s="61">
        <v>2603.7800000000002</v>
      </c>
      <c r="I17" s="61"/>
      <c r="J17" s="61"/>
      <c r="K17" s="61"/>
      <c r="L17" s="61"/>
      <c r="M17" s="61"/>
      <c r="N17" s="62">
        <f>SUM(B17:M17)</f>
        <v>21752.219999999998</v>
      </c>
    </row>
    <row r="18" spans="1:14" s="26" customFormat="1">
      <c r="A18" s="23" t="s">
        <v>36</v>
      </c>
      <c r="B18" s="24">
        <f>B17/B19</f>
        <v>8.6901763224181359</v>
      </c>
      <c r="C18" s="24">
        <f t="shared" ref="C18:K18" si="4">C17/C19</f>
        <v>8.3798758346023199</v>
      </c>
      <c r="D18" s="24">
        <v>8.3800000000000008</v>
      </c>
      <c r="E18" s="24">
        <f t="shared" si="4"/>
        <v>8.3799161893045238</v>
      </c>
      <c r="F18" s="24">
        <f t="shared" si="4"/>
        <v>8.3800093729905285</v>
      </c>
      <c r="G18" s="24">
        <v>8.3800000000000008</v>
      </c>
      <c r="H18" s="24">
        <f t="shared" si="4"/>
        <v>6.7100814349036186</v>
      </c>
      <c r="I18" s="24" t="e">
        <f t="shared" si="4"/>
        <v>#DIV/0!</v>
      </c>
      <c r="J18" s="24" t="e">
        <f t="shared" si="4"/>
        <v>#DIV/0!</v>
      </c>
      <c r="K18" s="24" t="e">
        <f t="shared" si="4"/>
        <v>#DIV/0!</v>
      </c>
      <c r="L18" s="24"/>
      <c r="M18" s="24"/>
      <c r="N18" s="62">
        <f>N17/N19</f>
        <v>8.1825435877472916</v>
      </c>
    </row>
    <row r="19" spans="1:14" s="26" customFormat="1">
      <c r="A19" s="22" t="s">
        <v>39</v>
      </c>
      <c r="B19" s="24">
        <v>397</v>
      </c>
      <c r="C19" s="24">
        <v>256.11</v>
      </c>
      <c r="D19" s="24">
        <v>260.11</v>
      </c>
      <c r="E19" s="24">
        <v>260.11</v>
      </c>
      <c r="F19" s="24">
        <v>917.53</v>
      </c>
      <c r="G19" s="24">
        <f>G17/G18</f>
        <v>179.46897374701669</v>
      </c>
      <c r="H19" s="24">
        <v>388.04</v>
      </c>
      <c r="I19" s="24"/>
      <c r="J19" s="24"/>
      <c r="K19" s="24"/>
      <c r="L19" s="24"/>
      <c r="M19" s="24"/>
      <c r="N19" s="62">
        <f>SUM(B19:M19)</f>
        <v>2658.3689737470163</v>
      </c>
    </row>
    <row r="20" spans="1:14" s="26" customFormat="1">
      <c r="A20" s="57" t="s">
        <v>45</v>
      </c>
      <c r="B20" s="24">
        <v>638.78</v>
      </c>
      <c r="C20" s="24">
        <v>569.80999999999995</v>
      </c>
      <c r="D20" s="24">
        <f>467.42+111.29</f>
        <v>578.71</v>
      </c>
      <c r="E20" s="24">
        <v>578.71</v>
      </c>
      <c r="F20" s="24">
        <v>578.66</v>
      </c>
      <c r="G20" s="24">
        <v>376.08</v>
      </c>
      <c r="H20" s="24">
        <v>793.88</v>
      </c>
      <c r="I20" s="24"/>
      <c r="J20" s="24"/>
      <c r="K20" s="24"/>
      <c r="L20" s="24"/>
      <c r="M20" s="24"/>
      <c r="N20" s="62">
        <f>SUM(B20:M20)</f>
        <v>4114.63</v>
      </c>
    </row>
    <row r="21" spans="1:14" s="26" customFormat="1">
      <c r="A21" s="23" t="s">
        <v>36</v>
      </c>
      <c r="B21" s="24">
        <v>2.23</v>
      </c>
      <c r="C21" s="24">
        <v>2.23</v>
      </c>
      <c r="D21" s="24">
        <v>2.23</v>
      </c>
      <c r="E21" s="24">
        <v>2.23</v>
      </c>
      <c r="F21" s="24">
        <v>2.23</v>
      </c>
      <c r="G21" s="24">
        <v>2.23</v>
      </c>
      <c r="H21" s="24">
        <v>2.23</v>
      </c>
      <c r="I21" s="24" t="e">
        <f>I20/I19</f>
        <v>#DIV/0!</v>
      </c>
      <c r="J21" s="24" t="e">
        <f>J20/J19</f>
        <v>#DIV/0!</v>
      </c>
      <c r="K21" s="24" t="e">
        <f>K20/K19</f>
        <v>#DIV/0!</v>
      </c>
      <c r="L21" s="24"/>
      <c r="M21" s="24"/>
      <c r="N21" s="62">
        <v>2.23</v>
      </c>
    </row>
    <row r="22" spans="1:14" s="26" customFormat="1">
      <c r="A22" s="57" t="s">
        <v>50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62">
        <f>SUM(B22:M22)</f>
        <v>0</v>
      </c>
    </row>
    <row r="23" spans="1:14" ht="16.5" hidden="1" thickBot="1">
      <c r="A23" s="147">
        <v>2274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9"/>
    </row>
    <row r="24" spans="1:14" ht="16.5" hidden="1" thickBot="1">
      <c r="A24" s="66" t="s">
        <v>48</v>
      </c>
      <c r="B24" s="67">
        <f>B25+B27</f>
        <v>0</v>
      </c>
      <c r="C24" s="67">
        <f t="shared" ref="C24:M24" si="5">C25+C27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  <c r="H24" s="67">
        <f t="shared" si="5"/>
        <v>0</v>
      </c>
      <c r="I24" s="67">
        <f t="shared" si="5"/>
        <v>0</v>
      </c>
      <c r="J24" s="67">
        <f t="shared" si="5"/>
        <v>0</v>
      </c>
      <c r="K24" s="67">
        <f t="shared" si="5"/>
        <v>0</v>
      </c>
      <c r="L24" s="67">
        <f t="shared" si="5"/>
        <v>0</v>
      </c>
      <c r="M24" s="67">
        <f t="shared" si="5"/>
        <v>0</v>
      </c>
      <c r="N24" s="65">
        <f>SUM(B24:M24)</f>
        <v>0</v>
      </c>
    </row>
    <row r="25" spans="1:14" hidden="1">
      <c r="A25" s="59" t="s">
        <v>51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2">
        <f>SUM(B25:M25)</f>
        <v>0</v>
      </c>
    </row>
    <row r="26" spans="1:14" hidden="1">
      <c r="A26" s="23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</row>
    <row r="27" spans="1:14" hidden="1">
      <c r="A27" s="57" t="s">
        <v>52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>
        <f>SUM(B27:M27)</f>
        <v>0</v>
      </c>
    </row>
    <row r="28" spans="1:14" hidden="1">
      <c r="A28" s="23" t="s">
        <v>36</v>
      </c>
      <c r="B28" s="24" t="e">
        <f>B27/B29</f>
        <v>#DIV/0!</v>
      </c>
      <c r="C28" s="24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5" t="e">
        <f>SUM(B28:M28)/1</f>
        <v>#DIV/0!</v>
      </c>
    </row>
    <row r="29" spans="1:14" hidden="1">
      <c r="A29" s="57" t="s">
        <v>38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>
        <f>SUM(B29:M29)</f>
        <v>0</v>
      </c>
    </row>
    <row r="30" spans="1:14" ht="16.5" thickBot="1">
      <c r="A30" s="147">
        <v>2275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9"/>
    </row>
    <row r="31" spans="1:14" ht="16.5" thickBot="1">
      <c r="A31" s="63" t="s">
        <v>48</v>
      </c>
      <c r="B31" s="64">
        <f>B32+B35</f>
        <v>0</v>
      </c>
      <c r="C31" s="68">
        <f t="shared" ref="C31:L31" si="6">C32+C35</f>
        <v>0</v>
      </c>
      <c r="D31" s="64">
        <f t="shared" si="6"/>
        <v>162.17000000000002</v>
      </c>
      <c r="E31" s="64">
        <f t="shared" si="6"/>
        <v>0</v>
      </c>
      <c r="F31" s="64">
        <f t="shared" si="6"/>
        <v>108.34</v>
      </c>
      <c r="G31" s="68">
        <f t="shared" si="6"/>
        <v>54.17</v>
      </c>
      <c r="H31" s="68">
        <f t="shared" si="6"/>
        <v>47.22</v>
      </c>
      <c r="I31" s="68">
        <f>I32+I35</f>
        <v>0</v>
      </c>
      <c r="J31" s="68">
        <f t="shared" si="6"/>
        <v>0</v>
      </c>
      <c r="K31" s="68">
        <f t="shared" si="6"/>
        <v>0</v>
      </c>
      <c r="L31" s="68">
        <f t="shared" si="6"/>
        <v>0</v>
      </c>
      <c r="M31" s="68"/>
      <c r="N31" s="65">
        <f>SUM(B31:M31)</f>
        <v>371.9</v>
      </c>
    </row>
    <row r="32" spans="1:14">
      <c r="A32" s="59" t="s">
        <v>46</v>
      </c>
      <c r="B32" s="60"/>
      <c r="C32" s="61"/>
      <c r="D32" s="61">
        <f>54.17+108</f>
        <v>162.17000000000002</v>
      </c>
      <c r="E32" s="61"/>
      <c r="F32" s="61">
        <v>108.34</v>
      </c>
      <c r="G32" s="61">
        <v>54.17</v>
      </c>
      <c r="H32" s="61">
        <v>47.22</v>
      </c>
      <c r="I32" s="61"/>
      <c r="J32" s="61"/>
      <c r="K32" s="61"/>
      <c r="L32" s="61"/>
      <c r="M32" s="61"/>
      <c r="N32" s="62">
        <f>SUM(B32:M32)</f>
        <v>371.9</v>
      </c>
    </row>
    <row r="33" spans="1:14">
      <c r="A33" s="23" t="s">
        <v>36</v>
      </c>
      <c r="B33" s="29"/>
      <c r="C33" s="21"/>
      <c r="D33" s="21">
        <v>191.9</v>
      </c>
      <c r="E33" s="21"/>
      <c r="F33" s="21">
        <v>191.9</v>
      </c>
      <c r="G33" s="21">
        <v>191.9</v>
      </c>
      <c r="H33" s="21">
        <v>191.9</v>
      </c>
      <c r="I33" s="21"/>
      <c r="J33" s="21"/>
      <c r="K33" s="21"/>
      <c r="L33" s="21"/>
      <c r="M33" s="21"/>
      <c r="N33" s="25">
        <v>191.9</v>
      </c>
    </row>
    <row r="34" spans="1:14">
      <c r="A34" s="57" t="s">
        <v>38</v>
      </c>
      <c r="B34" s="29"/>
      <c r="C34" s="21" t="e">
        <f>C32/C33</f>
        <v>#DIV/0!</v>
      </c>
      <c r="D34" s="21">
        <f>D32/D33</f>
        <v>0.84507556018759777</v>
      </c>
      <c r="E34" s="21" t="e">
        <f>E32/E33</f>
        <v>#DIV/0!</v>
      </c>
      <c r="F34" s="21">
        <f>F32/F33</f>
        <v>0.56456487754038565</v>
      </c>
      <c r="G34" s="21">
        <f t="shared" ref="G34:K34" si="7">G32/G33</f>
        <v>0.28228243877019282</v>
      </c>
      <c r="H34" s="21">
        <f t="shared" si="7"/>
        <v>0.24606565919749868</v>
      </c>
      <c r="I34" s="21" t="e">
        <f t="shared" si="7"/>
        <v>#DIV/0!</v>
      </c>
      <c r="J34" s="21" t="e">
        <f t="shared" si="7"/>
        <v>#DIV/0!</v>
      </c>
      <c r="K34" s="21" t="e">
        <f t="shared" si="7"/>
        <v>#DIV/0!</v>
      </c>
      <c r="L34" s="21" t="e">
        <f>L32/L33</f>
        <v>#DIV/0!</v>
      </c>
      <c r="M34" s="21" t="e">
        <f>M32/M33</f>
        <v>#DIV/0!</v>
      </c>
      <c r="N34" s="22">
        <v>0.85</v>
      </c>
    </row>
    <row r="35" spans="1:14">
      <c r="A35" s="57" t="s">
        <v>47</v>
      </c>
      <c r="B35" s="29"/>
      <c r="C35" s="27"/>
      <c r="D35" s="21"/>
      <c r="E35" s="21"/>
      <c r="F35" s="21"/>
      <c r="G35" s="32"/>
      <c r="H35" s="32"/>
      <c r="I35" s="28"/>
      <c r="J35" s="28"/>
      <c r="K35" s="21"/>
      <c r="L35" s="21"/>
      <c r="M35" s="21"/>
      <c r="N35" s="46">
        <f>SUM(B35:M35)</f>
        <v>0</v>
      </c>
    </row>
    <row r="36" spans="1:14">
      <c r="A36" s="23" t="s">
        <v>36</v>
      </c>
      <c r="B36" s="29"/>
      <c r="C36" s="27"/>
      <c r="D36" s="21"/>
      <c r="E36" s="21"/>
      <c r="F36" s="21"/>
      <c r="G36" s="32"/>
      <c r="H36" s="32"/>
      <c r="I36" s="28"/>
      <c r="J36" s="28"/>
      <c r="K36" s="21"/>
      <c r="L36" s="21"/>
      <c r="M36" s="21"/>
      <c r="N36" s="72">
        <f>SUM(B36:M36)/1</f>
        <v>0</v>
      </c>
    </row>
    <row r="37" spans="1:14">
      <c r="A37" s="57" t="s">
        <v>38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46">
        <f>SUM(B37:M37)</f>
        <v>0</v>
      </c>
    </row>
    <row r="38" spans="1:14">
      <c r="A38" s="22" t="s">
        <v>40</v>
      </c>
      <c r="B38" s="22">
        <f>B5+B9+B25+B31+B16</f>
        <v>4088.7799999999997</v>
      </c>
      <c r="C38" s="22">
        <f t="shared" ref="C38:N38" si="8">C31+C16+C9+C5</f>
        <v>24207.39</v>
      </c>
      <c r="D38" s="22">
        <f t="shared" si="8"/>
        <v>24937.91</v>
      </c>
      <c r="E38" s="22">
        <f t="shared" si="8"/>
        <v>19959.240000000002</v>
      </c>
      <c r="F38" s="22">
        <f t="shared" si="8"/>
        <v>18485.39</v>
      </c>
      <c r="G38" s="22">
        <f t="shared" si="8"/>
        <v>3555.61</v>
      </c>
      <c r="H38" s="22">
        <f t="shared" si="8"/>
        <v>3734.11</v>
      </c>
      <c r="I38" s="22">
        <f t="shared" si="8"/>
        <v>0</v>
      </c>
      <c r="J38" s="22">
        <f t="shared" si="8"/>
        <v>0</v>
      </c>
      <c r="K38" s="22">
        <f t="shared" si="8"/>
        <v>0</v>
      </c>
      <c r="L38" s="22">
        <f t="shared" si="8"/>
        <v>0</v>
      </c>
      <c r="M38" s="22">
        <f t="shared" si="8"/>
        <v>0</v>
      </c>
      <c r="N38" s="22">
        <f t="shared" si="8"/>
        <v>98968.43</v>
      </c>
    </row>
    <row r="40" spans="1:14" ht="18.75">
      <c r="B40" s="146"/>
      <c r="C40" s="146"/>
      <c r="D40" s="146"/>
      <c r="E40" s="146"/>
      <c r="F40" s="146"/>
      <c r="G40" s="146"/>
      <c r="H40" s="33"/>
      <c r="I40" s="33"/>
      <c r="J40" s="146"/>
      <c r="K40" s="146"/>
      <c r="L40" s="146"/>
      <c r="M40" s="146"/>
    </row>
  </sheetData>
  <mergeCells count="9">
    <mergeCell ref="A30:N30"/>
    <mergeCell ref="B40:G40"/>
    <mergeCell ref="J40:M40"/>
    <mergeCell ref="A1:N1"/>
    <mergeCell ref="E2:J2"/>
    <mergeCell ref="A4:N4"/>
    <mergeCell ref="A8:N8"/>
    <mergeCell ref="A15:N15"/>
    <mergeCell ref="A23:N23"/>
  </mergeCells>
  <pageMargins left="0.19685039370078741" right="0.19685039370078741" top="0.39370078740157483" bottom="0.39370078740157483" header="0" footer="0"/>
  <pageSetup paperSize="9" scale="8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План</vt:lpstr>
      <vt:lpstr>Звіт</vt:lpstr>
      <vt:lpstr>Факт викор.1010160</vt:lpstr>
      <vt:lpstr>1011080</vt:lpstr>
      <vt:lpstr>1014030</vt:lpstr>
      <vt:lpstr>1014040</vt:lpstr>
      <vt:lpstr>1014060</vt:lpstr>
      <vt:lpstr>1014081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2024-11-04T08:23:49Z</cp:lastPrinted>
  <dcterms:created xsi:type="dcterms:W3CDTF">2015-02-20T07:36:10Z</dcterms:created>
  <dcterms:modified xsi:type="dcterms:W3CDTF">2025-07-31T08:08:37Z</dcterms:modified>
</cp:coreProperties>
</file>